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Intra_Diretorias\419\Emissores\Companhias\1.2. Planilha de distribuições e adesões\Distribuições Públicas\Imprensa\2026\"/>
    </mc:Choice>
  </mc:AlternateContent>
  <xr:revisionPtr revIDLastSave="0" documentId="13_ncr:1_{13733689-E4FC-4D85-9314-336649BEB7CC}" xr6:coauthVersionLast="47" xr6:coauthVersionMax="47" xr10:uidLastSave="{00000000-0000-0000-0000-000000000000}"/>
  <bookViews>
    <workbookView xWindow="-11430" yWindow="-16470" windowWidth="29040" windowHeight="16440" xr2:uid="{4DD48DF9-589F-4CB0-8898-701DAA0B5617}"/>
  </bookViews>
  <sheets>
    <sheet name="SITE (Imprensa)_PT " sheetId="14" r:id="rId1"/>
    <sheet name="SITE (Imprensa)_ING" sheetId="15" r:id="rId2"/>
  </sheets>
  <externalReferences>
    <externalReference r:id="rId3"/>
    <externalReference r:id="rId4"/>
  </externalReferences>
  <definedNames>
    <definedName name="__ANO68" localSheetId="1">#REF!</definedName>
    <definedName name="__ANO68">#REF!</definedName>
    <definedName name="__ANO69" localSheetId="1">#REF!</definedName>
    <definedName name="__ANO69">#REF!</definedName>
    <definedName name="__ANO70" localSheetId="1">#REF!</definedName>
    <definedName name="__ANO70">#REF!</definedName>
    <definedName name="__ANO71" localSheetId="1">#REF!</definedName>
    <definedName name="__ANO71">#REF!</definedName>
    <definedName name="__ANO72" localSheetId="1">#REF!</definedName>
    <definedName name="__ANO72">#REF!</definedName>
    <definedName name="__ANO73" localSheetId="1">#REF!</definedName>
    <definedName name="__ANO73">#REF!</definedName>
    <definedName name="__ANO74" localSheetId="1">#REF!</definedName>
    <definedName name="__ANO74">#REF!</definedName>
    <definedName name="__ANO75" localSheetId="1">#REF!</definedName>
    <definedName name="__ANO75">#REF!</definedName>
    <definedName name="__ANO76" localSheetId="1">#REF!</definedName>
    <definedName name="__ANO76">#REF!</definedName>
    <definedName name="__ANO77" localSheetId="1">#REF!</definedName>
    <definedName name="__ANO77">#REF!</definedName>
    <definedName name="__ANO78" localSheetId="1">#REF!</definedName>
    <definedName name="__ANO78">#REF!</definedName>
    <definedName name="__ANO79" localSheetId="1">#REF!</definedName>
    <definedName name="__ANO79">#REF!</definedName>
    <definedName name="__ANO80" localSheetId="1">#REF!</definedName>
    <definedName name="__ANO80">#REF!</definedName>
    <definedName name="__ANO81" localSheetId="1">#REF!</definedName>
    <definedName name="__ANO81">#REF!</definedName>
    <definedName name="__ANO82" localSheetId="1">#REF!</definedName>
    <definedName name="__ANO82">#REF!</definedName>
    <definedName name="__ANO83" localSheetId="1">#REF!</definedName>
    <definedName name="__ANO83">#REF!</definedName>
    <definedName name="__ANO84" localSheetId="1">#REF!</definedName>
    <definedName name="__ANO84">#REF!</definedName>
    <definedName name="__ANO85" localSheetId="1">#REF!</definedName>
    <definedName name="__ANO85">#REF!</definedName>
    <definedName name="__ANO86" localSheetId="1">#REF!</definedName>
    <definedName name="__ANO86">#REF!</definedName>
    <definedName name="__ANO87" localSheetId="1">#REF!</definedName>
    <definedName name="__ANO87">#REF!</definedName>
    <definedName name="__ANO88" localSheetId="1">#REF!</definedName>
    <definedName name="__ANO88">#REF!</definedName>
    <definedName name="__ANO89" localSheetId="1">#REF!</definedName>
    <definedName name="__ANO89">#REF!</definedName>
    <definedName name="__ANO90" localSheetId="1">#REF!</definedName>
    <definedName name="__ANO90">#REF!</definedName>
    <definedName name="__ANO91" localSheetId="1">#REF!</definedName>
    <definedName name="__ANO91">#REF!</definedName>
    <definedName name="__ANO92" localSheetId="1">#REF!</definedName>
    <definedName name="__ANO92">#REF!</definedName>
    <definedName name="__ANO93" localSheetId="1">#REF!</definedName>
    <definedName name="__ANO93">#REF!</definedName>
    <definedName name="__ANO94" localSheetId="1">#REF!</definedName>
    <definedName name="__ANO94">#REF!</definedName>
    <definedName name="__ANO95" localSheetId="1">#REF!</definedName>
    <definedName name="__ANO95">#REF!</definedName>
    <definedName name="__ANO96" localSheetId="1">#REF!</definedName>
    <definedName name="__ANO96">#REF!</definedName>
    <definedName name="_ANO68" localSheetId="1">#REF!</definedName>
    <definedName name="_ANO68">#REF!</definedName>
    <definedName name="_ANO69" localSheetId="1">#REF!</definedName>
    <definedName name="_ANO69">#REF!</definedName>
    <definedName name="_ANO70" localSheetId="1">#REF!</definedName>
    <definedName name="_ANO70">#REF!</definedName>
    <definedName name="_ANO71" localSheetId="1">#REF!</definedName>
    <definedName name="_ANO71">#REF!</definedName>
    <definedName name="_ANO72" localSheetId="1">#REF!</definedName>
    <definedName name="_ANO72">#REF!</definedName>
    <definedName name="_ANO73" localSheetId="1">#REF!</definedName>
    <definedName name="_ANO73">#REF!</definedName>
    <definedName name="_ANO74" localSheetId="1">#REF!</definedName>
    <definedName name="_ANO74">#REF!</definedName>
    <definedName name="_ANO75" localSheetId="1">#REF!</definedName>
    <definedName name="_ANO75">#REF!</definedName>
    <definedName name="_ANO76" localSheetId="1">#REF!</definedName>
    <definedName name="_ANO76">#REF!</definedName>
    <definedName name="_ANO77" localSheetId="1">#REF!</definedName>
    <definedName name="_ANO77">#REF!</definedName>
    <definedName name="_ANO78" localSheetId="1">#REF!</definedName>
    <definedName name="_ANO78">#REF!</definedName>
    <definedName name="_ANO79" localSheetId="1">#REF!</definedName>
    <definedName name="_ANO79">#REF!</definedName>
    <definedName name="_ANO80" localSheetId="1">#REF!</definedName>
    <definedName name="_ANO80">#REF!</definedName>
    <definedName name="_ANO81" localSheetId="1">#REF!</definedName>
    <definedName name="_ANO81">#REF!</definedName>
    <definedName name="_ANO82" localSheetId="1">#REF!</definedName>
    <definedName name="_ANO82">#REF!</definedName>
    <definedName name="_ANO83" localSheetId="1">#REF!</definedName>
    <definedName name="_ANO83">#REF!</definedName>
    <definedName name="_ANO84" localSheetId="1">#REF!</definedName>
    <definedName name="_ANO84">#REF!</definedName>
    <definedName name="_ANO85" localSheetId="1">#REF!</definedName>
    <definedName name="_ANO85">#REF!</definedName>
    <definedName name="_ANO86" localSheetId="1">#REF!</definedName>
    <definedName name="_ANO86">#REF!</definedName>
    <definedName name="_ANO87" localSheetId="1">#REF!</definedName>
    <definedName name="_ANO87">#REF!</definedName>
    <definedName name="_ANO88" localSheetId="1">#REF!</definedName>
    <definedName name="_ANO88">#REF!</definedName>
    <definedName name="_ANO89" localSheetId="1">#REF!</definedName>
    <definedName name="_ANO89">#REF!</definedName>
    <definedName name="_ANO90" localSheetId="1">#REF!</definedName>
    <definedName name="_ANO90">#REF!</definedName>
    <definedName name="_ANO91" localSheetId="1">#REF!</definedName>
    <definedName name="_ANO91">#REF!</definedName>
    <definedName name="_ANO92" localSheetId="1">#REF!</definedName>
    <definedName name="_ANO92">#REF!</definedName>
    <definedName name="_ANO93" localSheetId="1">#REF!</definedName>
    <definedName name="_ANO93">#REF!</definedName>
    <definedName name="_ANO94" localSheetId="1">#REF!</definedName>
    <definedName name="_ANO94">#REF!</definedName>
    <definedName name="_ANO95" localSheetId="1">#REF!</definedName>
    <definedName name="_ANO95">#REF!</definedName>
    <definedName name="_ANO96" localSheetId="1">#REF!</definedName>
    <definedName name="_ANO96">#REF!</definedName>
    <definedName name="_xlnm._FilterDatabase" localSheetId="1" hidden="1">'SITE (Imprensa)_ING'!$B$3:$T$535</definedName>
    <definedName name="_xlnm._FilterDatabase" localSheetId="0" hidden="1">'SITE (Imprensa)_PT '!$A$3:$X$471</definedName>
    <definedName name="d">#REF!</definedName>
    <definedName name="Print_Area_MI" localSheetId="1">#REF!</definedName>
    <definedName name="Print_Area_MI">#REF!</definedName>
    <definedName name="s">#REF!</definedName>
    <definedName name="_xlnm.Print_Titles" localSheetId="0">'SITE (Imprensa)_PT '!$B:$J,'SITE (Imprensa)_PT '!$2:$2</definedName>
    <definedName name="Z_23329F0B_DF64_4063_914F_D1D9E82FFA17_.wvu.FilterData" localSheetId="1" hidden="1">'SITE (Imprensa)_ING'!$B$3:$O$155</definedName>
    <definedName name="Z_23329F0B_DF64_4063_914F_D1D9E82FFA17_.wvu.FilterData" localSheetId="0" hidden="1">'SITE (Imprensa)_PT '!$B$3:$S$235</definedName>
    <definedName name="Z_2B778610_FC57_4C17_8283_6FC2B8F78E6A_.wvu.FilterData" localSheetId="1" hidden="1">'SITE (Imprensa)_ING'!$B$3:$O$155</definedName>
    <definedName name="Z_2B778610_FC57_4C17_8283_6FC2B8F78E6A_.wvu.FilterData" localSheetId="0" hidden="1">'SITE (Imprensa)_PT '!$B$3:$S$235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43" i="15" l="1"/>
  <c r="S543" i="15"/>
  <c r="R543" i="15"/>
  <c r="Q543" i="15"/>
  <c r="P543" i="15"/>
  <c r="O543" i="15"/>
  <c r="N543" i="15"/>
  <c r="M543" i="15"/>
  <c r="L543" i="15"/>
  <c r="K543" i="15"/>
  <c r="J543" i="15"/>
  <c r="I543" i="15"/>
  <c r="H543" i="15"/>
  <c r="F543" i="15"/>
  <c r="E543" i="15"/>
  <c r="C543" i="15"/>
  <c r="B543" i="15"/>
  <c r="T542" i="15"/>
  <c r="S542" i="15"/>
  <c r="R542" i="15"/>
  <c r="Q542" i="15"/>
  <c r="P542" i="15"/>
  <c r="O542" i="15"/>
  <c r="N542" i="15"/>
  <c r="M542" i="15"/>
  <c r="L542" i="15"/>
  <c r="K542" i="15"/>
  <c r="J542" i="15"/>
  <c r="I542" i="15"/>
  <c r="H542" i="15"/>
  <c r="F542" i="15"/>
  <c r="E542" i="15"/>
  <c r="C542" i="15"/>
  <c r="B542" i="15"/>
  <c r="T541" i="15"/>
  <c r="S541" i="15"/>
  <c r="R541" i="15"/>
  <c r="Q541" i="15"/>
  <c r="P541" i="15"/>
  <c r="O541" i="15"/>
  <c r="N541" i="15"/>
  <c r="M541" i="15"/>
  <c r="L541" i="15"/>
  <c r="K541" i="15"/>
  <c r="J541" i="15"/>
  <c r="I541" i="15"/>
  <c r="H541" i="15"/>
  <c r="F541" i="15"/>
  <c r="E541" i="15"/>
  <c r="C541" i="15"/>
  <c r="B541" i="15"/>
  <c r="T540" i="15"/>
  <c r="S540" i="15"/>
  <c r="R540" i="15"/>
  <c r="Q540" i="15"/>
  <c r="P540" i="15"/>
  <c r="O540" i="15"/>
  <c r="N540" i="15"/>
  <c r="M540" i="15"/>
  <c r="L540" i="15"/>
  <c r="K540" i="15"/>
  <c r="J540" i="15"/>
  <c r="I540" i="15"/>
  <c r="H540" i="15"/>
  <c r="F540" i="15"/>
  <c r="E540" i="15"/>
  <c r="C540" i="15"/>
  <c r="B540" i="15"/>
  <c r="FS539" i="15"/>
  <c r="T539" i="15"/>
  <c r="S539" i="15"/>
  <c r="R539" i="15"/>
  <c r="Q539" i="15"/>
  <c r="P539" i="15"/>
  <c r="O539" i="15"/>
  <c r="N539" i="15"/>
  <c r="M539" i="15"/>
  <c r="L539" i="15"/>
  <c r="K539" i="15"/>
  <c r="J539" i="15"/>
  <c r="I539" i="15"/>
  <c r="H539" i="15"/>
  <c r="F539" i="15"/>
  <c r="E539" i="15"/>
  <c r="C539" i="15"/>
  <c r="B539" i="15"/>
  <c r="FS538" i="15"/>
  <c r="T538" i="15"/>
  <c r="S538" i="15"/>
  <c r="R538" i="15"/>
  <c r="Q538" i="15"/>
  <c r="P538" i="15"/>
  <c r="O538" i="15"/>
  <c r="N538" i="15"/>
  <c r="M538" i="15"/>
  <c r="L538" i="15"/>
  <c r="K538" i="15"/>
  <c r="J538" i="15"/>
  <c r="I538" i="15"/>
  <c r="H538" i="15"/>
  <c r="F538" i="15"/>
  <c r="E538" i="15"/>
  <c r="C538" i="15"/>
  <c r="B538" i="15"/>
  <c r="FS537" i="15"/>
  <c r="T537" i="15"/>
  <c r="S537" i="15"/>
  <c r="R537" i="15"/>
  <c r="Q537" i="15"/>
  <c r="P537" i="15"/>
  <c r="O537" i="15"/>
  <c r="N537" i="15"/>
  <c r="M537" i="15"/>
  <c r="L537" i="15"/>
  <c r="K537" i="15"/>
  <c r="J537" i="15"/>
  <c r="I537" i="15"/>
  <c r="H537" i="15"/>
  <c r="F537" i="15"/>
  <c r="E537" i="15"/>
  <c r="C537" i="15"/>
  <c r="B537" i="15"/>
  <c r="FS536" i="15"/>
  <c r="T536" i="15"/>
  <c r="S536" i="15"/>
  <c r="R536" i="15"/>
  <c r="Q536" i="15"/>
  <c r="P536" i="15"/>
  <c r="O536" i="15"/>
  <c r="N536" i="15"/>
  <c r="M536" i="15"/>
  <c r="L536" i="15"/>
  <c r="K536" i="15"/>
  <c r="J536" i="15"/>
  <c r="I536" i="15"/>
  <c r="H536" i="15"/>
  <c r="F536" i="15"/>
  <c r="E536" i="15"/>
  <c r="C536" i="15"/>
  <c r="B536" i="15"/>
  <c r="FS535" i="15"/>
  <c r="T535" i="15"/>
  <c r="S535" i="15"/>
  <c r="R535" i="15"/>
  <c r="Q535" i="15"/>
  <c r="P535" i="15"/>
  <c r="O535" i="15"/>
  <c r="N535" i="15"/>
  <c r="M535" i="15"/>
  <c r="L535" i="15"/>
  <c r="K535" i="15"/>
  <c r="J535" i="15"/>
  <c r="I535" i="15"/>
  <c r="H535" i="15"/>
  <c r="F535" i="15"/>
  <c r="E535" i="15"/>
  <c r="C535" i="15"/>
  <c r="B535" i="15"/>
  <c r="FS534" i="15"/>
  <c r="T534" i="15"/>
  <c r="S534" i="15"/>
  <c r="R534" i="15"/>
  <c r="Q534" i="15"/>
  <c r="P534" i="15"/>
  <c r="O534" i="15"/>
  <c r="N534" i="15"/>
  <c r="M534" i="15"/>
  <c r="L534" i="15"/>
  <c r="K534" i="15"/>
  <c r="J534" i="15"/>
  <c r="I534" i="15"/>
  <c r="H534" i="15"/>
  <c r="F534" i="15"/>
  <c r="E534" i="15"/>
  <c r="C534" i="15"/>
  <c r="B534" i="15"/>
  <c r="T533" i="15"/>
  <c r="S533" i="15"/>
  <c r="R533" i="15"/>
  <c r="Q533" i="15"/>
  <c r="P533" i="15"/>
  <c r="O533" i="15"/>
  <c r="N533" i="15"/>
  <c r="M533" i="15"/>
  <c r="L533" i="15"/>
  <c r="K533" i="15"/>
  <c r="T532" i="15"/>
  <c r="S532" i="15"/>
  <c r="R532" i="15"/>
  <c r="Q532" i="15"/>
  <c r="P532" i="15"/>
  <c r="O532" i="15"/>
  <c r="N532" i="15"/>
  <c r="M532" i="15"/>
  <c r="L532" i="15"/>
  <c r="K532" i="15"/>
  <c r="T531" i="15"/>
  <c r="S531" i="15"/>
  <c r="R531" i="15"/>
  <c r="Q531" i="15"/>
  <c r="P531" i="15"/>
  <c r="O531" i="15"/>
  <c r="N531" i="15"/>
  <c r="M531" i="15"/>
  <c r="L531" i="15"/>
  <c r="K531" i="15"/>
  <c r="J531" i="15"/>
  <c r="I531" i="15"/>
  <c r="H531" i="15"/>
  <c r="F531" i="15"/>
  <c r="E531" i="15"/>
  <c r="C531" i="15"/>
  <c r="B531" i="15"/>
  <c r="T530" i="15"/>
  <c r="S530" i="15"/>
  <c r="R530" i="15"/>
  <c r="Q530" i="15"/>
  <c r="P530" i="15"/>
  <c r="O530" i="15"/>
  <c r="N530" i="15"/>
  <c r="M530" i="15"/>
  <c r="L530" i="15"/>
  <c r="K530" i="15"/>
  <c r="J530" i="15"/>
  <c r="I530" i="15"/>
  <c r="H530" i="15"/>
  <c r="F530" i="15"/>
  <c r="E530" i="15"/>
  <c r="C530" i="15"/>
  <c r="B530" i="15"/>
  <c r="T529" i="15"/>
  <c r="S529" i="15"/>
  <c r="R529" i="15"/>
  <c r="Q529" i="15"/>
  <c r="P529" i="15"/>
  <c r="O529" i="15"/>
  <c r="N529" i="15"/>
  <c r="M529" i="15"/>
  <c r="L529" i="15"/>
  <c r="K529" i="15"/>
  <c r="J529" i="15"/>
  <c r="I529" i="15"/>
  <c r="H529" i="15"/>
  <c r="F529" i="15"/>
  <c r="E529" i="15"/>
  <c r="C529" i="15"/>
  <c r="B529" i="15"/>
  <c r="T528" i="15"/>
  <c r="S528" i="15"/>
  <c r="R528" i="15"/>
  <c r="Q528" i="15"/>
  <c r="P528" i="15"/>
  <c r="O528" i="15"/>
  <c r="N528" i="15"/>
  <c r="M528" i="15"/>
  <c r="L528" i="15"/>
  <c r="K528" i="15"/>
  <c r="J528" i="15"/>
  <c r="I528" i="15"/>
  <c r="H528" i="15"/>
  <c r="F528" i="15"/>
  <c r="E528" i="15"/>
  <c r="C528" i="15"/>
  <c r="B528" i="15"/>
  <c r="T527" i="15"/>
  <c r="S527" i="15"/>
  <c r="R527" i="15"/>
  <c r="Q527" i="15"/>
  <c r="P527" i="15"/>
  <c r="O527" i="15"/>
  <c r="N527" i="15"/>
  <c r="M527" i="15"/>
  <c r="L527" i="15"/>
  <c r="K527" i="15"/>
  <c r="J527" i="15"/>
  <c r="I527" i="15"/>
  <c r="H527" i="15"/>
  <c r="F527" i="15"/>
  <c r="E527" i="15"/>
  <c r="C527" i="15"/>
  <c r="B527" i="15"/>
  <c r="EF526" i="15"/>
  <c r="T526" i="15"/>
  <c r="S526" i="15"/>
  <c r="R526" i="15"/>
  <c r="Q526" i="15"/>
  <c r="P526" i="15"/>
  <c r="O526" i="15"/>
  <c r="N526" i="15"/>
  <c r="M526" i="15"/>
  <c r="L526" i="15"/>
  <c r="K526" i="15"/>
  <c r="J526" i="15"/>
  <c r="I526" i="15"/>
  <c r="H526" i="15"/>
  <c r="F526" i="15"/>
  <c r="E526" i="15"/>
  <c r="C526" i="15"/>
  <c r="B526" i="15"/>
  <c r="T525" i="15"/>
  <c r="S525" i="15"/>
  <c r="R525" i="15"/>
  <c r="Q525" i="15"/>
  <c r="P525" i="15"/>
  <c r="O525" i="15"/>
  <c r="N525" i="15"/>
  <c r="M525" i="15"/>
  <c r="L525" i="15"/>
  <c r="K525" i="15"/>
  <c r="J525" i="15"/>
  <c r="I525" i="15"/>
  <c r="H525" i="15"/>
  <c r="F525" i="15"/>
  <c r="E525" i="15"/>
  <c r="C525" i="15"/>
  <c r="B525" i="15"/>
  <c r="T524" i="15"/>
  <c r="S524" i="15"/>
  <c r="R524" i="15"/>
  <c r="Q524" i="15"/>
  <c r="P524" i="15"/>
  <c r="O524" i="15"/>
  <c r="N524" i="15"/>
  <c r="M524" i="15"/>
  <c r="L524" i="15"/>
  <c r="K524" i="15"/>
  <c r="J524" i="15"/>
  <c r="I524" i="15"/>
  <c r="H524" i="15"/>
  <c r="F524" i="15"/>
  <c r="E524" i="15"/>
  <c r="C524" i="15"/>
  <c r="B524" i="15"/>
  <c r="T523" i="15"/>
  <c r="S523" i="15"/>
  <c r="R523" i="15"/>
  <c r="Q523" i="15"/>
  <c r="P523" i="15"/>
  <c r="O523" i="15"/>
  <c r="N523" i="15"/>
  <c r="M523" i="15"/>
  <c r="L523" i="15"/>
  <c r="K523" i="15"/>
  <c r="J523" i="15"/>
  <c r="I523" i="15"/>
  <c r="H523" i="15"/>
  <c r="F523" i="15"/>
  <c r="E523" i="15"/>
  <c r="C523" i="15"/>
  <c r="B523" i="15"/>
  <c r="T522" i="15"/>
  <c r="S522" i="15"/>
  <c r="R522" i="15"/>
  <c r="Q522" i="15"/>
  <c r="P522" i="15"/>
  <c r="O522" i="15"/>
  <c r="N522" i="15"/>
  <c r="M522" i="15"/>
  <c r="L522" i="15"/>
  <c r="K522" i="15"/>
  <c r="J522" i="15"/>
  <c r="I522" i="15"/>
  <c r="H522" i="15"/>
  <c r="F522" i="15"/>
  <c r="E522" i="15"/>
  <c r="C522" i="15"/>
  <c r="B522" i="15"/>
  <c r="T521" i="15"/>
  <c r="S521" i="15"/>
  <c r="R521" i="15"/>
  <c r="Q521" i="15"/>
  <c r="P521" i="15"/>
  <c r="O521" i="15"/>
  <c r="N521" i="15"/>
  <c r="M521" i="15"/>
  <c r="L521" i="15"/>
  <c r="K521" i="15"/>
  <c r="J521" i="15"/>
  <c r="I521" i="15"/>
  <c r="H521" i="15"/>
  <c r="F521" i="15"/>
  <c r="E521" i="15"/>
  <c r="C521" i="15"/>
  <c r="B521" i="15"/>
  <c r="T520" i="15"/>
  <c r="S520" i="15"/>
  <c r="R520" i="15"/>
  <c r="Q520" i="15"/>
  <c r="P520" i="15"/>
  <c r="O520" i="15"/>
  <c r="N520" i="15"/>
  <c r="M520" i="15"/>
  <c r="L520" i="15"/>
  <c r="K520" i="15"/>
  <c r="J520" i="15"/>
  <c r="I520" i="15"/>
  <c r="H520" i="15"/>
  <c r="F520" i="15"/>
  <c r="E520" i="15"/>
  <c r="C520" i="15"/>
  <c r="B520" i="15"/>
  <c r="T519" i="15"/>
  <c r="S519" i="15"/>
  <c r="R519" i="15"/>
  <c r="Q519" i="15"/>
  <c r="P519" i="15"/>
  <c r="O519" i="15"/>
  <c r="N519" i="15"/>
  <c r="M519" i="15"/>
  <c r="L519" i="15"/>
  <c r="K519" i="15"/>
  <c r="J519" i="15"/>
  <c r="I519" i="15"/>
  <c r="H519" i="15"/>
  <c r="F519" i="15"/>
  <c r="E519" i="15"/>
  <c r="C519" i="15"/>
  <c r="B519" i="15"/>
  <c r="T518" i="15"/>
  <c r="S518" i="15"/>
  <c r="R518" i="15"/>
  <c r="Q518" i="15"/>
  <c r="P518" i="15"/>
  <c r="O518" i="15"/>
  <c r="N518" i="15"/>
  <c r="M518" i="15"/>
  <c r="L518" i="15"/>
  <c r="K518" i="15"/>
  <c r="J518" i="15"/>
  <c r="I518" i="15"/>
  <c r="H518" i="15"/>
  <c r="F518" i="15"/>
  <c r="E518" i="15"/>
  <c r="C518" i="15"/>
  <c r="B518" i="15"/>
  <c r="T517" i="15"/>
  <c r="S517" i="15"/>
  <c r="R517" i="15"/>
  <c r="Q517" i="15"/>
  <c r="P517" i="15"/>
  <c r="O517" i="15"/>
  <c r="N517" i="15"/>
  <c r="M517" i="15"/>
  <c r="L517" i="15"/>
  <c r="K517" i="15"/>
  <c r="J517" i="15"/>
  <c r="I517" i="15"/>
  <c r="H517" i="15"/>
  <c r="F517" i="15"/>
  <c r="E517" i="15"/>
  <c r="C517" i="15"/>
  <c r="B517" i="15"/>
  <c r="T516" i="15"/>
  <c r="S516" i="15"/>
  <c r="R516" i="15"/>
  <c r="Q516" i="15"/>
  <c r="P516" i="15"/>
  <c r="O516" i="15"/>
  <c r="N516" i="15"/>
  <c r="M516" i="15"/>
  <c r="L516" i="15"/>
  <c r="K516" i="15"/>
  <c r="J516" i="15"/>
  <c r="I516" i="15"/>
  <c r="H516" i="15"/>
  <c r="F516" i="15"/>
  <c r="E516" i="15"/>
  <c r="C516" i="15"/>
  <c r="B516" i="15"/>
  <c r="T515" i="15"/>
  <c r="S515" i="15"/>
  <c r="R515" i="15"/>
  <c r="Q515" i="15"/>
  <c r="P515" i="15"/>
  <c r="O515" i="15"/>
  <c r="N515" i="15"/>
  <c r="M515" i="15"/>
  <c r="L515" i="15"/>
  <c r="K515" i="15"/>
  <c r="J515" i="15"/>
  <c r="I515" i="15"/>
  <c r="H515" i="15"/>
  <c r="F515" i="15"/>
  <c r="E515" i="15"/>
  <c r="C515" i="15"/>
  <c r="B515" i="15"/>
  <c r="T514" i="15"/>
  <c r="S514" i="15"/>
  <c r="R514" i="15"/>
  <c r="Q514" i="15"/>
  <c r="P514" i="15"/>
  <c r="O514" i="15"/>
  <c r="N514" i="15"/>
  <c r="M514" i="15"/>
  <c r="L514" i="15"/>
  <c r="K514" i="15"/>
  <c r="J514" i="15"/>
  <c r="I514" i="15"/>
  <c r="H514" i="15"/>
  <c r="F514" i="15"/>
  <c r="E514" i="15"/>
  <c r="C514" i="15"/>
  <c r="B514" i="15"/>
  <c r="T513" i="15"/>
  <c r="S513" i="15"/>
  <c r="R513" i="15"/>
  <c r="Q513" i="15"/>
  <c r="P513" i="15"/>
  <c r="O513" i="15"/>
  <c r="N513" i="15"/>
  <c r="M513" i="15"/>
  <c r="L513" i="15"/>
  <c r="K513" i="15"/>
  <c r="J513" i="15"/>
  <c r="I513" i="15"/>
  <c r="H513" i="15"/>
  <c r="F513" i="15"/>
  <c r="E513" i="15"/>
  <c r="C513" i="15"/>
  <c r="B513" i="15"/>
  <c r="T512" i="15"/>
  <c r="S512" i="15"/>
  <c r="R512" i="15"/>
  <c r="Q512" i="15"/>
  <c r="P512" i="15"/>
  <c r="O512" i="15"/>
  <c r="N512" i="15"/>
  <c r="M512" i="15"/>
  <c r="L512" i="15"/>
  <c r="K512" i="15"/>
  <c r="J512" i="15"/>
  <c r="I512" i="15"/>
  <c r="H512" i="15"/>
  <c r="F512" i="15"/>
  <c r="E512" i="15"/>
  <c r="C512" i="15"/>
  <c r="B512" i="15"/>
  <c r="T511" i="15"/>
  <c r="S511" i="15"/>
  <c r="R511" i="15"/>
  <c r="Q511" i="15"/>
  <c r="P511" i="15"/>
  <c r="O511" i="15"/>
  <c r="N511" i="15"/>
  <c r="M511" i="15"/>
  <c r="L511" i="15"/>
  <c r="K511" i="15"/>
  <c r="J511" i="15"/>
  <c r="I511" i="15"/>
  <c r="H511" i="15"/>
  <c r="F511" i="15"/>
  <c r="E511" i="15"/>
  <c r="C511" i="15"/>
  <c r="B511" i="15"/>
  <c r="T510" i="15"/>
  <c r="S510" i="15"/>
  <c r="R510" i="15"/>
  <c r="Q510" i="15"/>
  <c r="P510" i="15"/>
  <c r="O510" i="15"/>
  <c r="N510" i="15"/>
  <c r="M510" i="15"/>
  <c r="L510" i="15"/>
  <c r="K510" i="15"/>
  <c r="J510" i="15"/>
  <c r="I510" i="15"/>
  <c r="H510" i="15"/>
  <c r="F510" i="15"/>
  <c r="E510" i="15"/>
  <c r="C510" i="15"/>
  <c r="B510" i="15"/>
  <c r="T509" i="15"/>
  <c r="S509" i="15"/>
  <c r="R509" i="15"/>
  <c r="Q509" i="15"/>
  <c r="P509" i="15"/>
  <c r="O509" i="15"/>
  <c r="N509" i="15"/>
  <c r="M509" i="15"/>
  <c r="L509" i="15"/>
  <c r="K509" i="15"/>
  <c r="J509" i="15"/>
  <c r="I509" i="15"/>
  <c r="H509" i="15"/>
  <c r="F509" i="15"/>
  <c r="E509" i="15"/>
  <c r="C509" i="15"/>
  <c r="B509" i="15"/>
  <c r="T508" i="15"/>
  <c r="S508" i="15"/>
  <c r="R508" i="15"/>
  <c r="Q508" i="15"/>
  <c r="P508" i="15"/>
  <c r="O508" i="15"/>
  <c r="N508" i="15"/>
  <c r="M508" i="15"/>
  <c r="L508" i="15"/>
  <c r="K508" i="15"/>
  <c r="J508" i="15"/>
  <c r="I508" i="15"/>
  <c r="H508" i="15"/>
  <c r="F508" i="15"/>
  <c r="E508" i="15"/>
  <c r="C508" i="15"/>
  <c r="B508" i="15"/>
  <c r="T507" i="15"/>
  <c r="S507" i="15"/>
  <c r="R507" i="15"/>
  <c r="Q507" i="15"/>
  <c r="P507" i="15"/>
  <c r="O507" i="15"/>
  <c r="N507" i="15"/>
  <c r="M507" i="15"/>
  <c r="L507" i="15"/>
  <c r="K507" i="15"/>
  <c r="J507" i="15"/>
  <c r="I507" i="15"/>
  <c r="H507" i="15"/>
  <c r="F507" i="15"/>
  <c r="E507" i="15"/>
  <c r="C507" i="15"/>
  <c r="B507" i="15"/>
  <c r="T506" i="15"/>
  <c r="S506" i="15"/>
  <c r="R506" i="15"/>
  <c r="Q506" i="15"/>
  <c r="P506" i="15"/>
  <c r="O506" i="15"/>
  <c r="N506" i="15"/>
  <c r="M506" i="15"/>
  <c r="L506" i="15"/>
  <c r="K506" i="15"/>
  <c r="J506" i="15"/>
  <c r="I506" i="15"/>
  <c r="H506" i="15"/>
  <c r="F506" i="15"/>
  <c r="E506" i="15"/>
  <c r="C506" i="15"/>
  <c r="B506" i="15"/>
  <c r="T505" i="15"/>
  <c r="S505" i="15"/>
  <c r="R505" i="15"/>
  <c r="Q505" i="15"/>
  <c r="P505" i="15"/>
  <c r="O505" i="15"/>
  <c r="N505" i="15"/>
  <c r="M505" i="15"/>
  <c r="L505" i="15"/>
  <c r="K505" i="15"/>
  <c r="J505" i="15"/>
  <c r="I505" i="15"/>
  <c r="H505" i="15"/>
  <c r="F505" i="15"/>
  <c r="E505" i="15"/>
  <c r="C505" i="15"/>
  <c r="B505" i="15"/>
  <c r="T504" i="15"/>
  <c r="S504" i="15"/>
  <c r="R504" i="15"/>
  <c r="Q504" i="15"/>
  <c r="P504" i="15"/>
  <c r="O504" i="15"/>
  <c r="N504" i="15"/>
  <c r="M504" i="15"/>
  <c r="L504" i="15"/>
  <c r="K504" i="15"/>
  <c r="J504" i="15"/>
  <c r="I504" i="15"/>
  <c r="H504" i="15"/>
  <c r="F504" i="15"/>
  <c r="E504" i="15"/>
  <c r="C504" i="15"/>
  <c r="B504" i="15"/>
  <c r="T503" i="15"/>
  <c r="S503" i="15"/>
  <c r="R503" i="15"/>
  <c r="Q503" i="15"/>
  <c r="P503" i="15"/>
  <c r="O503" i="15"/>
  <c r="N503" i="15"/>
  <c r="M503" i="15"/>
  <c r="L503" i="15"/>
  <c r="K503" i="15"/>
  <c r="J503" i="15"/>
  <c r="I503" i="15"/>
  <c r="H503" i="15"/>
  <c r="F503" i="15"/>
  <c r="E503" i="15"/>
  <c r="C503" i="15"/>
  <c r="B503" i="15"/>
  <c r="T502" i="15"/>
  <c r="S502" i="15"/>
  <c r="R502" i="15"/>
  <c r="Q502" i="15"/>
  <c r="P502" i="15"/>
  <c r="O502" i="15"/>
  <c r="N502" i="15"/>
  <c r="M502" i="15"/>
  <c r="L502" i="15"/>
  <c r="K502" i="15"/>
  <c r="J502" i="15"/>
  <c r="I502" i="15"/>
  <c r="H502" i="15"/>
  <c r="F502" i="15"/>
  <c r="E502" i="15"/>
  <c r="C502" i="15"/>
  <c r="B502" i="15"/>
  <c r="T501" i="15"/>
  <c r="S501" i="15"/>
  <c r="R501" i="15"/>
  <c r="Q501" i="15"/>
  <c r="P501" i="15"/>
  <c r="O501" i="15"/>
  <c r="N501" i="15"/>
  <c r="M501" i="15"/>
  <c r="L501" i="15"/>
  <c r="K501" i="15"/>
  <c r="J501" i="15"/>
  <c r="I501" i="15"/>
  <c r="H501" i="15"/>
  <c r="F501" i="15"/>
  <c r="E501" i="15"/>
  <c r="C501" i="15"/>
  <c r="B501" i="15"/>
  <c r="T500" i="15"/>
  <c r="S500" i="15"/>
  <c r="R500" i="15"/>
  <c r="Q500" i="15"/>
  <c r="P500" i="15"/>
  <c r="O500" i="15"/>
  <c r="N500" i="15"/>
  <c r="M500" i="15"/>
  <c r="L500" i="15"/>
  <c r="K500" i="15"/>
  <c r="J500" i="15"/>
  <c r="I500" i="15"/>
  <c r="H500" i="15"/>
  <c r="F500" i="15"/>
  <c r="E500" i="15"/>
  <c r="C500" i="15"/>
  <c r="B500" i="15"/>
  <c r="T499" i="15"/>
  <c r="S499" i="15"/>
  <c r="R499" i="15"/>
  <c r="Q499" i="15"/>
  <c r="P499" i="15"/>
  <c r="O499" i="15"/>
  <c r="N499" i="15"/>
  <c r="M499" i="15"/>
  <c r="L499" i="15"/>
  <c r="K499" i="15"/>
  <c r="J499" i="15"/>
  <c r="I499" i="15"/>
  <c r="H499" i="15"/>
  <c r="F499" i="15"/>
  <c r="E499" i="15"/>
  <c r="C499" i="15"/>
  <c r="B499" i="15"/>
  <c r="T498" i="15"/>
  <c r="S498" i="15"/>
  <c r="R498" i="15"/>
  <c r="Q498" i="15"/>
  <c r="P498" i="15"/>
  <c r="O498" i="15"/>
  <c r="N498" i="15"/>
  <c r="M498" i="15"/>
  <c r="L498" i="15"/>
  <c r="K498" i="15"/>
  <c r="J498" i="15"/>
  <c r="I498" i="15"/>
  <c r="H498" i="15"/>
  <c r="G498" i="15"/>
  <c r="F498" i="15"/>
  <c r="E498" i="15"/>
  <c r="C498" i="15"/>
  <c r="T497" i="15"/>
  <c r="S497" i="15"/>
  <c r="R497" i="15"/>
  <c r="Q497" i="15"/>
  <c r="P497" i="15"/>
  <c r="O497" i="15"/>
  <c r="N497" i="15"/>
  <c r="M497" i="15"/>
  <c r="L497" i="15"/>
  <c r="K497" i="15"/>
  <c r="J497" i="15"/>
  <c r="I497" i="15"/>
  <c r="H497" i="15"/>
  <c r="G497" i="15"/>
  <c r="F497" i="15"/>
  <c r="E497" i="15"/>
  <c r="C497" i="15"/>
  <c r="B497" i="15"/>
  <c r="T496" i="15"/>
  <c r="S496" i="15"/>
  <c r="R496" i="15"/>
  <c r="Q496" i="15"/>
  <c r="P496" i="15"/>
  <c r="O496" i="15"/>
  <c r="N496" i="15"/>
  <c r="M496" i="15"/>
  <c r="L496" i="15"/>
  <c r="K496" i="15"/>
  <c r="J496" i="15"/>
  <c r="I496" i="15"/>
  <c r="H496" i="15"/>
  <c r="G496" i="15"/>
  <c r="F496" i="15"/>
  <c r="E496" i="15"/>
  <c r="C496" i="15"/>
  <c r="B496" i="15"/>
  <c r="T495" i="15"/>
  <c r="S495" i="15"/>
  <c r="R495" i="15"/>
  <c r="Q495" i="15"/>
  <c r="P495" i="15"/>
  <c r="O495" i="15"/>
  <c r="N495" i="15"/>
  <c r="M495" i="15"/>
  <c r="L495" i="15"/>
  <c r="K495" i="15"/>
  <c r="J495" i="15"/>
  <c r="I495" i="15"/>
  <c r="H495" i="15"/>
  <c r="G495" i="15"/>
  <c r="F495" i="15"/>
  <c r="E495" i="15"/>
  <c r="C495" i="15"/>
  <c r="B495" i="15"/>
  <c r="T494" i="15"/>
  <c r="S494" i="15"/>
  <c r="R494" i="15"/>
  <c r="Q494" i="15"/>
  <c r="P494" i="15"/>
  <c r="O494" i="15"/>
  <c r="N494" i="15"/>
  <c r="M494" i="15"/>
  <c r="L494" i="15"/>
  <c r="K494" i="15"/>
  <c r="J494" i="15"/>
  <c r="I494" i="15"/>
  <c r="H494" i="15"/>
  <c r="G494" i="15"/>
  <c r="F494" i="15"/>
  <c r="E494" i="15"/>
  <c r="C494" i="15"/>
  <c r="B494" i="15"/>
  <c r="T493" i="15"/>
  <c r="S493" i="15"/>
  <c r="R493" i="15"/>
  <c r="Q493" i="15"/>
  <c r="P493" i="15"/>
  <c r="O493" i="15"/>
  <c r="N493" i="15"/>
  <c r="M493" i="15"/>
  <c r="L493" i="15"/>
  <c r="K493" i="15"/>
  <c r="J493" i="15"/>
  <c r="I493" i="15"/>
  <c r="H493" i="15"/>
  <c r="G493" i="15"/>
  <c r="F493" i="15"/>
  <c r="E493" i="15"/>
  <c r="C493" i="15"/>
  <c r="B493" i="15"/>
  <c r="T492" i="15"/>
  <c r="S492" i="15"/>
  <c r="R492" i="15"/>
  <c r="Q492" i="15"/>
  <c r="P492" i="15"/>
  <c r="O492" i="15"/>
  <c r="N492" i="15"/>
  <c r="M492" i="15"/>
  <c r="L492" i="15"/>
  <c r="K492" i="15"/>
  <c r="J492" i="15"/>
  <c r="I492" i="15"/>
  <c r="H492" i="15"/>
  <c r="G492" i="15"/>
  <c r="F492" i="15"/>
  <c r="E492" i="15"/>
  <c r="C492" i="15"/>
  <c r="B492" i="15"/>
  <c r="T491" i="15"/>
  <c r="S491" i="15"/>
  <c r="R491" i="15"/>
  <c r="Q491" i="15"/>
  <c r="P491" i="15"/>
  <c r="O491" i="15"/>
  <c r="N491" i="15"/>
  <c r="M491" i="15"/>
  <c r="L491" i="15"/>
  <c r="K491" i="15"/>
  <c r="J491" i="15"/>
  <c r="I491" i="15"/>
  <c r="H491" i="15"/>
  <c r="G491" i="15"/>
  <c r="F491" i="15"/>
  <c r="E491" i="15"/>
  <c r="C491" i="15"/>
  <c r="B491" i="15"/>
  <c r="T490" i="15"/>
  <c r="S490" i="15"/>
  <c r="R490" i="15"/>
  <c r="Q490" i="15"/>
  <c r="P490" i="15"/>
  <c r="O490" i="15"/>
  <c r="N490" i="15"/>
  <c r="M490" i="15"/>
  <c r="L490" i="15"/>
  <c r="K490" i="15"/>
  <c r="J490" i="15"/>
  <c r="I490" i="15"/>
  <c r="H490" i="15"/>
  <c r="G490" i="15"/>
  <c r="F490" i="15"/>
  <c r="E490" i="15"/>
  <c r="C490" i="15"/>
  <c r="B490" i="15"/>
  <c r="T489" i="15"/>
  <c r="S489" i="15"/>
  <c r="R489" i="15"/>
  <c r="Q489" i="15"/>
  <c r="P489" i="15"/>
  <c r="O489" i="15"/>
  <c r="N489" i="15"/>
  <c r="M489" i="15"/>
  <c r="L489" i="15"/>
  <c r="K489" i="15"/>
  <c r="J489" i="15"/>
  <c r="I489" i="15"/>
  <c r="H489" i="15"/>
  <c r="G489" i="15"/>
  <c r="F489" i="15"/>
  <c r="E489" i="15"/>
  <c r="C489" i="15"/>
  <c r="B489" i="15"/>
  <c r="T488" i="15"/>
  <c r="S488" i="15"/>
  <c r="R488" i="15"/>
  <c r="Q488" i="15"/>
  <c r="P488" i="15"/>
  <c r="O488" i="15"/>
  <c r="N488" i="15"/>
  <c r="M488" i="15"/>
  <c r="L488" i="15"/>
  <c r="K488" i="15"/>
  <c r="J488" i="15"/>
  <c r="I488" i="15"/>
  <c r="H488" i="15"/>
  <c r="G488" i="15"/>
  <c r="F488" i="15"/>
  <c r="E488" i="15"/>
  <c r="C488" i="15"/>
  <c r="B488" i="15"/>
  <c r="T487" i="15"/>
  <c r="S487" i="15"/>
  <c r="R487" i="15"/>
  <c r="Q487" i="15"/>
  <c r="P487" i="15"/>
  <c r="O487" i="15"/>
  <c r="N487" i="15"/>
  <c r="M487" i="15"/>
  <c r="L487" i="15"/>
  <c r="K487" i="15"/>
  <c r="J487" i="15"/>
  <c r="I487" i="15"/>
  <c r="H487" i="15"/>
  <c r="G487" i="15"/>
  <c r="F487" i="15"/>
  <c r="E487" i="15"/>
  <c r="C487" i="15"/>
  <c r="B487" i="15"/>
  <c r="T486" i="15"/>
  <c r="S486" i="15"/>
  <c r="R486" i="15"/>
  <c r="Q486" i="15"/>
  <c r="P486" i="15"/>
  <c r="O486" i="15"/>
  <c r="N486" i="15"/>
  <c r="M486" i="15"/>
  <c r="L486" i="15"/>
  <c r="K486" i="15"/>
  <c r="J486" i="15"/>
  <c r="I486" i="15"/>
  <c r="H486" i="15"/>
  <c r="G486" i="15"/>
  <c r="F486" i="15"/>
  <c r="E486" i="15"/>
  <c r="C486" i="15"/>
  <c r="B486" i="15"/>
  <c r="T485" i="15"/>
  <c r="S485" i="15"/>
  <c r="R485" i="15"/>
  <c r="Q485" i="15"/>
  <c r="P485" i="15"/>
  <c r="O485" i="15"/>
  <c r="N485" i="15"/>
  <c r="M485" i="15"/>
  <c r="L485" i="15"/>
  <c r="K485" i="15"/>
  <c r="J485" i="15"/>
  <c r="I485" i="15"/>
  <c r="H485" i="15"/>
  <c r="G485" i="15"/>
  <c r="F485" i="15"/>
  <c r="E485" i="15"/>
  <c r="C485" i="15"/>
  <c r="B485" i="15"/>
  <c r="T484" i="15"/>
  <c r="S484" i="15"/>
  <c r="R484" i="15"/>
  <c r="Q484" i="15"/>
  <c r="P484" i="15"/>
  <c r="O484" i="15"/>
  <c r="N484" i="15"/>
  <c r="M484" i="15"/>
  <c r="L484" i="15"/>
  <c r="K484" i="15"/>
  <c r="J484" i="15"/>
  <c r="I484" i="15"/>
  <c r="H484" i="15"/>
  <c r="G484" i="15"/>
  <c r="F484" i="15"/>
  <c r="E484" i="15"/>
  <c r="C484" i="15"/>
  <c r="B484" i="15"/>
  <c r="T483" i="15"/>
  <c r="S483" i="15"/>
  <c r="R483" i="15"/>
  <c r="Q483" i="15"/>
  <c r="P483" i="15"/>
  <c r="O483" i="15"/>
  <c r="N483" i="15"/>
  <c r="M483" i="15"/>
  <c r="L483" i="15"/>
  <c r="K483" i="15"/>
  <c r="J483" i="15"/>
  <c r="I483" i="15"/>
  <c r="H483" i="15"/>
  <c r="G483" i="15"/>
  <c r="F483" i="15"/>
  <c r="E483" i="15"/>
  <c r="C483" i="15"/>
  <c r="B483" i="15"/>
  <c r="T482" i="15"/>
  <c r="S482" i="15"/>
  <c r="R482" i="15"/>
  <c r="Q482" i="15"/>
  <c r="P482" i="15"/>
  <c r="O482" i="15"/>
  <c r="N482" i="15"/>
  <c r="M482" i="15"/>
  <c r="L482" i="15"/>
  <c r="K482" i="15"/>
  <c r="J482" i="15"/>
  <c r="I482" i="15"/>
  <c r="H482" i="15"/>
  <c r="G482" i="15"/>
  <c r="F482" i="15"/>
  <c r="E482" i="15"/>
  <c r="C482" i="15"/>
  <c r="T481" i="15"/>
  <c r="S481" i="15"/>
  <c r="R481" i="15"/>
  <c r="Q481" i="15"/>
  <c r="P481" i="15"/>
  <c r="O481" i="15"/>
  <c r="N481" i="15"/>
  <c r="M481" i="15"/>
  <c r="L481" i="15"/>
  <c r="K481" i="15"/>
  <c r="J481" i="15"/>
  <c r="I481" i="15"/>
  <c r="H481" i="15"/>
  <c r="G481" i="15"/>
  <c r="F481" i="15"/>
  <c r="E481" i="15"/>
  <c r="C481" i="15"/>
  <c r="B481" i="15"/>
  <c r="T480" i="15"/>
  <c r="S480" i="15"/>
  <c r="R480" i="15"/>
  <c r="Q480" i="15"/>
  <c r="P480" i="15"/>
  <c r="O480" i="15"/>
  <c r="N480" i="15"/>
  <c r="M480" i="15"/>
  <c r="L480" i="15"/>
  <c r="K480" i="15"/>
  <c r="J480" i="15"/>
  <c r="I480" i="15"/>
  <c r="H480" i="15"/>
  <c r="G480" i="15"/>
  <c r="F480" i="15"/>
  <c r="E480" i="15"/>
  <c r="C480" i="15"/>
  <c r="B480" i="15"/>
  <c r="T479" i="15"/>
  <c r="S479" i="15"/>
  <c r="R479" i="15"/>
  <c r="Q479" i="15"/>
  <c r="P479" i="15"/>
  <c r="O479" i="15"/>
  <c r="N479" i="15"/>
  <c r="M479" i="15"/>
  <c r="L479" i="15"/>
  <c r="K479" i="15"/>
  <c r="J479" i="15"/>
  <c r="I479" i="15"/>
  <c r="H479" i="15"/>
  <c r="G479" i="15"/>
  <c r="F479" i="15"/>
  <c r="E479" i="15"/>
  <c r="C479" i="15"/>
  <c r="B479" i="15"/>
  <c r="T478" i="15"/>
  <c r="S478" i="15"/>
  <c r="R478" i="15"/>
  <c r="Q478" i="15"/>
  <c r="P478" i="15"/>
  <c r="O478" i="15"/>
  <c r="N478" i="15"/>
  <c r="M478" i="15"/>
  <c r="L478" i="15"/>
  <c r="K478" i="15"/>
  <c r="J478" i="15"/>
  <c r="I478" i="15"/>
  <c r="H478" i="15"/>
  <c r="G478" i="15"/>
  <c r="F478" i="15"/>
  <c r="E478" i="15"/>
  <c r="C478" i="15"/>
  <c r="B478" i="15"/>
  <c r="T477" i="15"/>
  <c r="S477" i="15"/>
  <c r="R477" i="15"/>
  <c r="Q477" i="15"/>
  <c r="P477" i="15"/>
  <c r="O477" i="15"/>
  <c r="N477" i="15"/>
  <c r="M477" i="15"/>
  <c r="L477" i="15"/>
  <c r="K477" i="15"/>
  <c r="J477" i="15"/>
  <c r="I477" i="15"/>
  <c r="H477" i="15"/>
  <c r="G477" i="15"/>
  <c r="F477" i="15"/>
  <c r="E477" i="15"/>
  <c r="C477" i="15"/>
  <c r="B477" i="15"/>
  <c r="T476" i="15"/>
  <c r="S476" i="15"/>
  <c r="R476" i="15"/>
  <c r="Q476" i="15"/>
  <c r="P476" i="15"/>
  <c r="O476" i="15"/>
  <c r="N476" i="15"/>
  <c r="M476" i="15"/>
  <c r="L476" i="15"/>
  <c r="K476" i="15"/>
  <c r="J476" i="15"/>
  <c r="I476" i="15"/>
  <c r="H476" i="15"/>
  <c r="G476" i="15"/>
  <c r="F476" i="15"/>
  <c r="E476" i="15"/>
  <c r="C476" i="15"/>
  <c r="B476" i="15"/>
  <c r="T475" i="15"/>
  <c r="S475" i="15"/>
  <c r="R475" i="15"/>
  <c r="Q475" i="15"/>
  <c r="P475" i="15"/>
  <c r="O475" i="15"/>
  <c r="N475" i="15"/>
  <c r="M475" i="15"/>
  <c r="L475" i="15"/>
  <c r="K475" i="15"/>
  <c r="J475" i="15"/>
  <c r="I475" i="15"/>
  <c r="H475" i="15"/>
  <c r="G475" i="15"/>
  <c r="F475" i="15"/>
  <c r="E475" i="15"/>
  <c r="C475" i="15"/>
  <c r="B475" i="15"/>
  <c r="T474" i="15"/>
  <c r="S474" i="15"/>
  <c r="R474" i="15"/>
  <c r="Q474" i="15"/>
  <c r="P474" i="15"/>
  <c r="O474" i="15"/>
  <c r="N474" i="15"/>
  <c r="M474" i="15"/>
  <c r="L474" i="15"/>
  <c r="K474" i="15"/>
  <c r="J474" i="15"/>
  <c r="I474" i="15"/>
  <c r="H474" i="15"/>
  <c r="G474" i="15"/>
  <c r="F474" i="15"/>
  <c r="E474" i="15"/>
  <c r="C474" i="15"/>
  <c r="B474" i="15"/>
  <c r="T473" i="15"/>
  <c r="S473" i="15"/>
  <c r="R473" i="15"/>
  <c r="Q473" i="15"/>
  <c r="P473" i="15"/>
  <c r="O473" i="15"/>
  <c r="N473" i="15"/>
  <c r="M473" i="15"/>
  <c r="L473" i="15"/>
  <c r="K473" i="15"/>
  <c r="J473" i="15"/>
  <c r="I473" i="15"/>
  <c r="H473" i="15"/>
  <c r="G473" i="15"/>
  <c r="F473" i="15"/>
  <c r="E473" i="15"/>
  <c r="C473" i="15"/>
  <c r="B473" i="15"/>
  <c r="T472" i="15"/>
  <c r="S472" i="15"/>
  <c r="R472" i="15"/>
  <c r="Q472" i="15"/>
  <c r="P472" i="15"/>
  <c r="O472" i="15"/>
  <c r="N472" i="15"/>
  <c r="M472" i="15"/>
  <c r="L472" i="15"/>
  <c r="K472" i="15"/>
  <c r="J472" i="15"/>
  <c r="I472" i="15"/>
  <c r="H472" i="15"/>
  <c r="G472" i="15"/>
  <c r="F472" i="15"/>
  <c r="E472" i="15"/>
  <c r="C472" i="15"/>
  <c r="B472" i="15"/>
  <c r="T471" i="15"/>
  <c r="S471" i="15"/>
  <c r="R471" i="15"/>
  <c r="Q471" i="15"/>
  <c r="P471" i="15"/>
  <c r="O471" i="15"/>
  <c r="N471" i="15"/>
  <c r="M471" i="15"/>
  <c r="L471" i="15"/>
  <c r="K471" i="15"/>
  <c r="J471" i="15"/>
  <c r="I471" i="15"/>
  <c r="H471" i="15"/>
  <c r="G471" i="15"/>
  <c r="F471" i="15"/>
  <c r="E471" i="15"/>
  <c r="C471" i="15"/>
  <c r="B471" i="15"/>
  <c r="T470" i="15"/>
  <c r="S470" i="15"/>
  <c r="R470" i="15"/>
  <c r="Q470" i="15"/>
  <c r="P470" i="15"/>
  <c r="O470" i="15"/>
  <c r="N470" i="15"/>
  <c r="M470" i="15"/>
  <c r="L470" i="15"/>
  <c r="K470" i="15"/>
  <c r="J470" i="15"/>
  <c r="I470" i="15"/>
  <c r="H470" i="15"/>
  <c r="G470" i="15"/>
  <c r="F470" i="15"/>
  <c r="E470" i="15"/>
  <c r="C470" i="15"/>
  <c r="B470" i="15"/>
  <c r="T469" i="15"/>
  <c r="S469" i="15"/>
  <c r="R469" i="15"/>
  <c r="Q469" i="15"/>
  <c r="P469" i="15"/>
  <c r="O469" i="15"/>
  <c r="N469" i="15"/>
  <c r="M469" i="15"/>
  <c r="L469" i="15"/>
  <c r="K469" i="15"/>
  <c r="J469" i="15"/>
  <c r="I469" i="15"/>
  <c r="H469" i="15"/>
  <c r="G469" i="15"/>
  <c r="F469" i="15"/>
  <c r="E469" i="15"/>
  <c r="C469" i="15"/>
  <c r="B469" i="15"/>
  <c r="T468" i="15"/>
  <c r="S468" i="15"/>
  <c r="R468" i="15"/>
  <c r="Q468" i="15"/>
  <c r="P468" i="15"/>
  <c r="O468" i="15"/>
  <c r="N468" i="15"/>
  <c r="M468" i="15"/>
  <c r="L468" i="15"/>
  <c r="K468" i="15"/>
  <c r="J468" i="15"/>
  <c r="I468" i="15"/>
  <c r="H468" i="15"/>
  <c r="G468" i="15"/>
  <c r="F468" i="15"/>
  <c r="E468" i="15"/>
  <c r="C468" i="15"/>
  <c r="B468" i="15"/>
  <c r="T467" i="15"/>
  <c r="S467" i="15"/>
  <c r="R467" i="15"/>
  <c r="Q467" i="15"/>
  <c r="P467" i="15"/>
  <c r="O467" i="15"/>
  <c r="N467" i="15"/>
  <c r="M467" i="15"/>
  <c r="L467" i="15"/>
  <c r="K467" i="15"/>
  <c r="J467" i="15"/>
  <c r="I467" i="15"/>
  <c r="H467" i="15"/>
  <c r="G467" i="15"/>
  <c r="F467" i="15"/>
  <c r="E467" i="15"/>
  <c r="C467" i="15"/>
  <c r="B467" i="15"/>
  <c r="T466" i="15"/>
  <c r="S466" i="15"/>
  <c r="R466" i="15"/>
  <c r="Q466" i="15"/>
  <c r="P466" i="15"/>
  <c r="O466" i="15"/>
  <c r="N466" i="15"/>
  <c r="M466" i="15"/>
  <c r="L466" i="15"/>
  <c r="K466" i="15"/>
  <c r="J466" i="15"/>
  <c r="I466" i="15"/>
  <c r="H466" i="15"/>
  <c r="G466" i="15"/>
  <c r="F466" i="15"/>
  <c r="E466" i="15"/>
  <c r="C466" i="15"/>
  <c r="B466" i="15"/>
  <c r="T465" i="15"/>
  <c r="S465" i="15"/>
  <c r="R465" i="15"/>
  <c r="Q465" i="15"/>
  <c r="P465" i="15"/>
  <c r="O465" i="15"/>
  <c r="N465" i="15"/>
  <c r="M465" i="15"/>
  <c r="L465" i="15"/>
  <c r="K465" i="15"/>
  <c r="J465" i="15"/>
  <c r="I465" i="15"/>
  <c r="H465" i="15"/>
  <c r="G465" i="15"/>
  <c r="F465" i="15"/>
  <c r="E465" i="15"/>
  <c r="C465" i="15"/>
  <c r="B465" i="15"/>
  <c r="T464" i="15"/>
  <c r="S464" i="15"/>
  <c r="R464" i="15"/>
  <c r="Q464" i="15"/>
  <c r="P464" i="15"/>
  <c r="O464" i="15"/>
  <c r="N464" i="15"/>
  <c r="M464" i="15"/>
  <c r="L464" i="15"/>
  <c r="K464" i="15"/>
  <c r="J464" i="15"/>
  <c r="I464" i="15"/>
  <c r="H464" i="15"/>
  <c r="G464" i="15"/>
  <c r="F464" i="15"/>
  <c r="E464" i="15"/>
  <c r="C464" i="15"/>
  <c r="B464" i="15"/>
  <c r="T463" i="15"/>
  <c r="S463" i="15"/>
  <c r="R463" i="15"/>
  <c r="Q463" i="15"/>
  <c r="P463" i="15"/>
  <c r="O463" i="15"/>
  <c r="N463" i="15"/>
  <c r="M463" i="15"/>
  <c r="L463" i="15"/>
  <c r="K463" i="15"/>
  <c r="J463" i="15"/>
  <c r="I463" i="15"/>
  <c r="H463" i="15"/>
  <c r="G463" i="15"/>
  <c r="F463" i="15"/>
  <c r="E463" i="15"/>
  <c r="C463" i="15"/>
  <c r="B463" i="15"/>
  <c r="T462" i="15"/>
  <c r="S462" i="15"/>
  <c r="R462" i="15"/>
  <c r="Q462" i="15"/>
  <c r="P462" i="15"/>
  <c r="O462" i="15"/>
  <c r="N462" i="15"/>
  <c r="M462" i="15"/>
  <c r="L462" i="15"/>
  <c r="K462" i="15"/>
  <c r="J462" i="15"/>
  <c r="I462" i="15"/>
  <c r="H462" i="15"/>
  <c r="G462" i="15"/>
  <c r="F462" i="15"/>
  <c r="E462" i="15"/>
  <c r="C462" i="15"/>
  <c r="B462" i="15"/>
  <c r="T461" i="15"/>
  <c r="S461" i="15"/>
  <c r="R461" i="15"/>
  <c r="Q461" i="15"/>
  <c r="P461" i="15"/>
  <c r="O461" i="15"/>
  <c r="N461" i="15"/>
  <c r="M461" i="15"/>
  <c r="L461" i="15"/>
  <c r="K461" i="15"/>
  <c r="J461" i="15"/>
  <c r="I461" i="15"/>
  <c r="H461" i="15"/>
  <c r="G461" i="15"/>
  <c r="F461" i="15"/>
  <c r="E461" i="15"/>
  <c r="C461" i="15"/>
  <c r="B461" i="15"/>
  <c r="T460" i="15"/>
  <c r="S460" i="15"/>
  <c r="R460" i="15"/>
  <c r="Q460" i="15"/>
  <c r="P460" i="15"/>
  <c r="O460" i="15"/>
  <c r="N460" i="15"/>
  <c r="M460" i="15"/>
  <c r="L460" i="15"/>
  <c r="K460" i="15"/>
  <c r="J460" i="15"/>
  <c r="I460" i="15"/>
  <c r="H460" i="15"/>
  <c r="G460" i="15"/>
  <c r="F460" i="15"/>
  <c r="E460" i="15"/>
  <c r="C460" i="15"/>
  <c r="B460" i="15"/>
  <c r="T459" i="15"/>
  <c r="S459" i="15"/>
  <c r="R459" i="15"/>
  <c r="Q459" i="15"/>
  <c r="P459" i="15"/>
  <c r="O459" i="15"/>
  <c r="N459" i="15"/>
  <c r="M459" i="15"/>
  <c r="L459" i="15"/>
  <c r="K459" i="15"/>
  <c r="J459" i="15"/>
  <c r="I459" i="15"/>
  <c r="H459" i="15"/>
  <c r="G459" i="15"/>
  <c r="F459" i="15"/>
  <c r="E459" i="15"/>
  <c r="C459" i="15"/>
  <c r="B459" i="15"/>
  <c r="T458" i="15"/>
  <c r="S458" i="15"/>
  <c r="R458" i="15"/>
  <c r="Q458" i="15"/>
  <c r="P458" i="15"/>
  <c r="O458" i="15"/>
  <c r="N458" i="15"/>
  <c r="M458" i="15"/>
  <c r="L458" i="15"/>
  <c r="K458" i="15"/>
  <c r="J458" i="15"/>
  <c r="I458" i="15"/>
  <c r="H458" i="15"/>
  <c r="G458" i="15"/>
  <c r="F458" i="15"/>
  <c r="E458" i="15"/>
  <c r="C458" i="15"/>
  <c r="B458" i="15"/>
  <c r="T457" i="15"/>
  <c r="S457" i="15"/>
  <c r="R457" i="15"/>
  <c r="Q457" i="15"/>
  <c r="P457" i="15"/>
  <c r="O457" i="15"/>
  <c r="N457" i="15"/>
  <c r="M457" i="15"/>
  <c r="L457" i="15"/>
  <c r="K457" i="15"/>
  <c r="J457" i="15"/>
  <c r="I457" i="15"/>
  <c r="H457" i="15"/>
  <c r="G457" i="15"/>
  <c r="F457" i="15"/>
  <c r="E457" i="15"/>
  <c r="C457" i="15"/>
  <c r="B457" i="15"/>
  <c r="T456" i="15"/>
  <c r="S456" i="15"/>
  <c r="R456" i="15"/>
  <c r="Q456" i="15"/>
  <c r="P456" i="15"/>
  <c r="O456" i="15"/>
  <c r="N456" i="15"/>
  <c r="M456" i="15"/>
  <c r="L456" i="15"/>
  <c r="K456" i="15"/>
  <c r="J456" i="15"/>
  <c r="I456" i="15"/>
  <c r="H456" i="15"/>
  <c r="G456" i="15"/>
  <c r="F456" i="15"/>
  <c r="E456" i="15"/>
  <c r="C456" i="15"/>
  <c r="B456" i="15"/>
  <c r="T455" i="15"/>
  <c r="S455" i="15"/>
  <c r="R455" i="15"/>
  <c r="Q455" i="15"/>
  <c r="P455" i="15"/>
  <c r="O455" i="15"/>
  <c r="N455" i="15"/>
  <c r="M455" i="15"/>
  <c r="L455" i="15"/>
  <c r="K455" i="15"/>
  <c r="J455" i="15"/>
  <c r="I455" i="15"/>
  <c r="H455" i="15"/>
  <c r="G455" i="15"/>
  <c r="F455" i="15"/>
  <c r="E455" i="15"/>
  <c r="C455" i="15"/>
  <c r="B455" i="15"/>
  <c r="T454" i="15"/>
  <c r="S454" i="15"/>
  <c r="R454" i="15"/>
  <c r="Q454" i="15"/>
  <c r="P454" i="15"/>
  <c r="O454" i="15"/>
  <c r="N454" i="15"/>
  <c r="M454" i="15"/>
  <c r="L454" i="15"/>
  <c r="K454" i="15"/>
  <c r="J454" i="15"/>
  <c r="I454" i="15"/>
  <c r="H454" i="15"/>
  <c r="G454" i="15"/>
  <c r="F454" i="15"/>
  <c r="E454" i="15"/>
  <c r="C454" i="15"/>
  <c r="B454" i="15"/>
  <c r="T453" i="15"/>
  <c r="S453" i="15"/>
  <c r="R453" i="15"/>
  <c r="Q453" i="15"/>
  <c r="P453" i="15"/>
  <c r="O453" i="15"/>
  <c r="N453" i="15"/>
  <c r="M453" i="15"/>
  <c r="L453" i="15"/>
  <c r="K453" i="15"/>
  <c r="J453" i="15"/>
  <c r="I453" i="15"/>
  <c r="H453" i="15"/>
  <c r="G453" i="15"/>
  <c r="F453" i="15"/>
  <c r="E453" i="15"/>
  <c r="C453" i="15"/>
  <c r="B453" i="15"/>
  <c r="T452" i="15"/>
  <c r="S452" i="15"/>
  <c r="R452" i="15"/>
  <c r="Q452" i="15"/>
  <c r="P452" i="15"/>
  <c r="O452" i="15"/>
  <c r="N452" i="15"/>
  <c r="M452" i="15"/>
  <c r="L452" i="15"/>
  <c r="K452" i="15"/>
  <c r="J452" i="15"/>
  <c r="I452" i="15"/>
  <c r="H452" i="15"/>
  <c r="G452" i="15"/>
  <c r="F452" i="15"/>
  <c r="E452" i="15"/>
  <c r="C452" i="15"/>
  <c r="B452" i="15"/>
  <c r="T451" i="15"/>
  <c r="S451" i="15"/>
  <c r="R451" i="15"/>
  <c r="Q451" i="15"/>
  <c r="P451" i="15"/>
  <c r="O451" i="15"/>
  <c r="N451" i="15"/>
  <c r="M451" i="15"/>
  <c r="L451" i="15"/>
  <c r="K451" i="15"/>
  <c r="J451" i="15"/>
  <c r="I451" i="15"/>
  <c r="H451" i="15"/>
  <c r="G451" i="15"/>
  <c r="F451" i="15"/>
  <c r="E451" i="15"/>
  <c r="C451" i="15"/>
  <c r="B451" i="15"/>
  <c r="T450" i="15"/>
  <c r="S450" i="15"/>
  <c r="R450" i="15"/>
  <c r="Q450" i="15"/>
  <c r="P450" i="15"/>
  <c r="O450" i="15"/>
  <c r="N450" i="15"/>
  <c r="M450" i="15"/>
  <c r="L450" i="15"/>
  <c r="K450" i="15"/>
  <c r="J450" i="15"/>
  <c r="I450" i="15"/>
  <c r="H450" i="15"/>
  <c r="G450" i="15"/>
  <c r="F450" i="15"/>
  <c r="E450" i="15"/>
  <c r="C450" i="15"/>
  <c r="B450" i="15"/>
  <c r="T449" i="15"/>
  <c r="S449" i="15"/>
  <c r="R449" i="15"/>
  <c r="Q449" i="15"/>
  <c r="P449" i="15"/>
  <c r="O449" i="15"/>
  <c r="N449" i="15"/>
  <c r="M449" i="15"/>
  <c r="L449" i="15"/>
  <c r="K449" i="15"/>
  <c r="J449" i="15"/>
  <c r="I449" i="15"/>
  <c r="H449" i="15"/>
  <c r="G449" i="15"/>
  <c r="F449" i="15"/>
  <c r="E449" i="15"/>
  <c r="C449" i="15"/>
  <c r="B449" i="15"/>
  <c r="T448" i="15"/>
  <c r="S448" i="15"/>
  <c r="R448" i="15"/>
  <c r="Q448" i="15"/>
  <c r="P448" i="15"/>
  <c r="O448" i="15"/>
  <c r="N448" i="15"/>
  <c r="M448" i="15"/>
  <c r="L448" i="15"/>
  <c r="K448" i="15"/>
  <c r="J448" i="15"/>
  <c r="I448" i="15"/>
  <c r="H448" i="15"/>
  <c r="G448" i="15"/>
  <c r="F448" i="15"/>
  <c r="E448" i="15"/>
  <c r="C448" i="15"/>
  <c r="B448" i="15"/>
  <c r="T447" i="15"/>
  <c r="S447" i="15"/>
  <c r="R447" i="15"/>
  <c r="Q447" i="15"/>
  <c r="P447" i="15"/>
  <c r="O447" i="15"/>
  <c r="N447" i="15"/>
  <c r="M447" i="15"/>
  <c r="L447" i="15"/>
  <c r="K447" i="15"/>
  <c r="J447" i="15"/>
  <c r="I447" i="15"/>
  <c r="H447" i="15"/>
  <c r="G447" i="15"/>
  <c r="F447" i="15"/>
  <c r="E447" i="15"/>
  <c r="C447" i="15"/>
  <c r="B447" i="15"/>
  <c r="T446" i="15"/>
  <c r="S446" i="15"/>
  <c r="R446" i="15"/>
  <c r="Q446" i="15"/>
  <c r="P446" i="15"/>
  <c r="O446" i="15"/>
  <c r="N446" i="15"/>
  <c r="M446" i="15"/>
  <c r="L446" i="15"/>
  <c r="K446" i="15"/>
  <c r="J446" i="15"/>
  <c r="I446" i="15"/>
  <c r="H446" i="15"/>
  <c r="G446" i="15"/>
  <c r="F446" i="15"/>
  <c r="E446" i="15"/>
  <c r="C446" i="15"/>
  <c r="B446" i="15"/>
  <c r="T445" i="15"/>
  <c r="S445" i="15"/>
  <c r="R445" i="15"/>
  <c r="Q445" i="15"/>
  <c r="P445" i="15"/>
  <c r="O445" i="15"/>
  <c r="N445" i="15"/>
  <c r="M445" i="15"/>
  <c r="L445" i="15"/>
  <c r="K445" i="15"/>
  <c r="J445" i="15"/>
  <c r="I445" i="15"/>
  <c r="H445" i="15"/>
  <c r="G445" i="15"/>
  <c r="F445" i="15"/>
  <c r="E445" i="15"/>
  <c r="C445" i="15"/>
  <c r="B445" i="15"/>
  <c r="T444" i="15"/>
  <c r="S444" i="15"/>
  <c r="R444" i="15"/>
  <c r="Q444" i="15"/>
  <c r="P444" i="15"/>
  <c r="O444" i="15"/>
  <c r="N444" i="15"/>
  <c r="M444" i="15"/>
  <c r="L444" i="15"/>
  <c r="K444" i="15"/>
  <c r="J444" i="15"/>
  <c r="I444" i="15"/>
  <c r="H444" i="15"/>
  <c r="G444" i="15"/>
  <c r="F444" i="15"/>
  <c r="E444" i="15"/>
  <c r="C444" i="15"/>
  <c r="B444" i="15"/>
  <c r="T443" i="15"/>
  <c r="S443" i="15"/>
  <c r="R443" i="15"/>
  <c r="Q443" i="15"/>
  <c r="P443" i="15"/>
  <c r="O443" i="15"/>
  <c r="N443" i="15"/>
  <c r="M443" i="15"/>
  <c r="L443" i="15"/>
  <c r="K443" i="15"/>
  <c r="J443" i="15"/>
  <c r="I443" i="15"/>
  <c r="H443" i="15"/>
  <c r="G443" i="15"/>
  <c r="F443" i="15"/>
  <c r="E443" i="15"/>
  <c r="C443" i="15"/>
  <c r="B443" i="15"/>
  <c r="T442" i="15"/>
  <c r="S442" i="15"/>
  <c r="R442" i="15"/>
  <c r="Q442" i="15"/>
  <c r="P442" i="15"/>
  <c r="O442" i="15"/>
  <c r="N442" i="15"/>
  <c r="M442" i="15"/>
  <c r="L442" i="15"/>
  <c r="K442" i="15"/>
  <c r="J442" i="15"/>
  <c r="I442" i="15"/>
  <c r="H442" i="15"/>
  <c r="G442" i="15"/>
  <c r="F442" i="15"/>
  <c r="E442" i="15"/>
  <c r="C442" i="15"/>
  <c r="B442" i="15"/>
  <c r="T441" i="15"/>
  <c r="S441" i="15"/>
  <c r="R441" i="15"/>
  <c r="Q441" i="15"/>
  <c r="P441" i="15"/>
  <c r="O441" i="15"/>
  <c r="N441" i="15"/>
  <c r="M441" i="15"/>
  <c r="L441" i="15"/>
  <c r="K441" i="15"/>
  <c r="J441" i="15"/>
  <c r="I441" i="15"/>
  <c r="H441" i="15"/>
  <c r="G441" i="15"/>
  <c r="F441" i="15"/>
  <c r="E441" i="15"/>
  <c r="C441" i="15"/>
  <c r="B441" i="15"/>
  <c r="T440" i="15"/>
  <c r="S440" i="15"/>
  <c r="R440" i="15"/>
  <c r="Q440" i="15"/>
  <c r="P440" i="15"/>
  <c r="O440" i="15"/>
  <c r="N440" i="15"/>
  <c r="M440" i="15"/>
  <c r="L440" i="15"/>
  <c r="K440" i="15"/>
  <c r="J440" i="15"/>
  <c r="I440" i="15"/>
  <c r="H440" i="15"/>
  <c r="G440" i="15"/>
  <c r="F440" i="15"/>
  <c r="E440" i="15"/>
  <c r="C440" i="15"/>
  <c r="B440" i="15"/>
  <c r="T439" i="15"/>
  <c r="S439" i="15"/>
  <c r="R439" i="15"/>
  <c r="Q439" i="15"/>
  <c r="P439" i="15"/>
  <c r="O439" i="15"/>
  <c r="N439" i="15"/>
  <c r="M439" i="15"/>
  <c r="L439" i="15"/>
  <c r="K439" i="15"/>
  <c r="J439" i="15"/>
  <c r="I439" i="15"/>
  <c r="H439" i="15"/>
  <c r="G439" i="15"/>
  <c r="F439" i="15"/>
  <c r="E439" i="15"/>
  <c r="C439" i="15"/>
  <c r="B439" i="15"/>
  <c r="T438" i="15"/>
  <c r="S438" i="15"/>
  <c r="R438" i="15"/>
  <c r="Q438" i="15"/>
  <c r="P438" i="15"/>
  <c r="O438" i="15"/>
  <c r="N438" i="15"/>
  <c r="M438" i="15"/>
  <c r="L438" i="15"/>
  <c r="K438" i="15"/>
  <c r="J438" i="15"/>
  <c r="I438" i="15"/>
  <c r="H438" i="15"/>
  <c r="G438" i="15"/>
  <c r="F438" i="15"/>
  <c r="E438" i="15"/>
  <c r="C438" i="15"/>
  <c r="B438" i="15"/>
  <c r="T437" i="15"/>
  <c r="S437" i="15"/>
  <c r="R437" i="15"/>
  <c r="Q437" i="15"/>
  <c r="P437" i="15"/>
  <c r="O437" i="15"/>
  <c r="N437" i="15"/>
  <c r="M437" i="15"/>
  <c r="L437" i="15"/>
  <c r="K437" i="15"/>
  <c r="J437" i="15"/>
  <c r="I437" i="15"/>
  <c r="H437" i="15"/>
  <c r="G437" i="15"/>
  <c r="F437" i="15"/>
  <c r="E437" i="15"/>
  <c r="C437" i="15"/>
  <c r="B437" i="15"/>
  <c r="T436" i="15"/>
  <c r="S436" i="15"/>
  <c r="R436" i="15"/>
  <c r="Q436" i="15"/>
  <c r="P436" i="15"/>
  <c r="O436" i="15"/>
  <c r="N436" i="15"/>
  <c r="M436" i="15"/>
  <c r="L436" i="15"/>
  <c r="K436" i="15"/>
  <c r="J436" i="15"/>
  <c r="I436" i="15"/>
  <c r="H436" i="15"/>
  <c r="G436" i="15"/>
  <c r="F436" i="15"/>
  <c r="E436" i="15"/>
  <c r="C436" i="15"/>
  <c r="B436" i="15"/>
  <c r="T435" i="15"/>
  <c r="S435" i="15"/>
  <c r="R435" i="15"/>
  <c r="Q435" i="15"/>
  <c r="P435" i="15"/>
  <c r="O435" i="15"/>
  <c r="N435" i="15"/>
  <c r="M435" i="15"/>
  <c r="L435" i="15"/>
  <c r="K435" i="15"/>
  <c r="J435" i="15"/>
  <c r="I435" i="15"/>
  <c r="H435" i="15"/>
  <c r="G435" i="15"/>
  <c r="F435" i="15"/>
  <c r="E435" i="15"/>
  <c r="C435" i="15"/>
  <c r="B435" i="15"/>
  <c r="T434" i="15"/>
  <c r="S434" i="15"/>
  <c r="R434" i="15"/>
  <c r="Q434" i="15"/>
  <c r="P434" i="15"/>
  <c r="O434" i="15"/>
  <c r="N434" i="15"/>
  <c r="M434" i="15"/>
  <c r="L434" i="15"/>
  <c r="K434" i="15"/>
  <c r="J434" i="15"/>
  <c r="I434" i="15"/>
  <c r="H434" i="15"/>
  <c r="G434" i="15"/>
  <c r="F434" i="15"/>
  <c r="E434" i="15"/>
  <c r="C434" i="15"/>
  <c r="B434" i="15"/>
  <c r="T433" i="15"/>
  <c r="S433" i="15"/>
  <c r="R433" i="15"/>
  <c r="Q433" i="15"/>
  <c r="P433" i="15"/>
  <c r="O433" i="15"/>
  <c r="N433" i="15"/>
  <c r="M433" i="15"/>
  <c r="L433" i="15"/>
  <c r="K433" i="15"/>
  <c r="J433" i="15"/>
  <c r="I433" i="15"/>
  <c r="H433" i="15"/>
  <c r="G433" i="15"/>
  <c r="F433" i="15"/>
  <c r="E433" i="15"/>
  <c r="C433" i="15"/>
  <c r="B433" i="15"/>
  <c r="T432" i="15"/>
  <c r="S432" i="15"/>
  <c r="R432" i="15"/>
  <c r="Q432" i="15"/>
  <c r="P432" i="15"/>
  <c r="O432" i="15"/>
  <c r="N432" i="15"/>
  <c r="M432" i="15"/>
  <c r="L432" i="15"/>
  <c r="K432" i="15"/>
  <c r="J432" i="15"/>
  <c r="I432" i="15"/>
  <c r="H432" i="15"/>
  <c r="G432" i="15"/>
  <c r="F432" i="15"/>
  <c r="E432" i="15"/>
  <c r="C432" i="15"/>
  <c r="B432" i="15"/>
  <c r="T431" i="15"/>
  <c r="S431" i="15"/>
  <c r="R431" i="15"/>
  <c r="Q431" i="15"/>
  <c r="P431" i="15"/>
  <c r="O431" i="15"/>
  <c r="N431" i="15"/>
  <c r="M431" i="15"/>
  <c r="L431" i="15"/>
  <c r="K431" i="15"/>
  <c r="J431" i="15"/>
  <c r="I431" i="15"/>
  <c r="H431" i="15"/>
  <c r="G431" i="15"/>
  <c r="F431" i="15"/>
  <c r="E431" i="15"/>
  <c r="C431" i="15"/>
  <c r="B431" i="15"/>
  <c r="T430" i="15"/>
  <c r="S430" i="15"/>
  <c r="R430" i="15"/>
  <c r="Q430" i="15"/>
  <c r="P430" i="15"/>
  <c r="O430" i="15"/>
  <c r="N430" i="15"/>
  <c r="M430" i="15"/>
  <c r="L430" i="15"/>
  <c r="K430" i="15"/>
  <c r="J430" i="15"/>
  <c r="I430" i="15"/>
  <c r="H430" i="15"/>
  <c r="G430" i="15"/>
  <c r="F430" i="15"/>
  <c r="E430" i="15"/>
  <c r="C430" i="15"/>
  <c r="B430" i="15"/>
  <c r="T429" i="15"/>
  <c r="S429" i="15"/>
  <c r="R429" i="15"/>
  <c r="Q429" i="15"/>
  <c r="P429" i="15"/>
  <c r="O429" i="15"/>
  <c r="N429" i="15"/>
  <c r="M429" i="15"/>
  <c r="L429" i="15"/>
  <c r="K429" i="15"/>
  <c r="J429" i="15"/>
  <c r="I429" i="15"/>
  <c r="H429" i="15"/>
  <c r="G429" i="15"/>
  <c r="F429" i="15"/>
  <c r="E429" i="15"/>
  <c r="C429" i="15"/>
  <c r="B429" i="15"/>
  <c r="T428" i="15"/>
  <c r="S428" i="15"/>
  <c r="R428" i="15"/>
  <c r="Q428" i="15"/>
  <c r="P428" i="15"/>
  <c r="O428" i="15"/>
  <c r="N428" i="15"/>
  <c r="M428" i="15"/>
  <c r="L428" i="15"/>
  <c r="K428" i="15"/>
  <c r="J428" i="15"/>
  <c r="I428" i="15"/>
  <c r="H428" i="15"/>
  <c r="G428" i="15"/>
  <c r="F428" i="15"/>
  <c r="E428" i="15"/>
  <c r="C428" i="15"/>
  <c r="B428" i="15"/>
  <c r="T427" i="15"/>
  <c r="S427" i="15"/>
  <c r="R427" i="15"/>
  <c r="Q427" i="15"/>
  <c r="P427" i="15"/>
  <c r="O427" i="15"/>
  <c r="N427" i="15"/>
  <c r="M427" i="15"/>
  <c r="L427" i="15"/>
  <c r="K427" i="15"/>
  <c r="J427" i="15"/>
  <c r="I427" i="15"/>
  <c r="H427" i="15"/>
  <c r="G427" i="15"/>
  <c r="F427" i="15"/>
  <c r="E427" i="15"/>
  <c r="C427" i="15"/>
  <c r="B427" i="15"/>
  <c r="T426" i="15"/>
  <c r="S426" i="15"/>
  <c r="R426" i="15"/>
  <c r="Q426" i="15"/>
  <c r="P426" i="15"/>
  <c r="O426" i="15"/>
  <c r="N426" i="15"/>
  <c r="M426" i="15"/>
  <c r="L426" i="15"/>
  <c r="K426" i="15"/>
  <c r="J426" i="15"/>
  <c r="I426" i="15"/>
  <c r="H426" i="15"/>
  <c r="G426" i="15"/>
  <c r="F426" i="15"/>
  <c r="E426" i="15"/>
  <c r="C426" i="15"/>
  <c r="B426" i="15"/>
  <c r="T425" i="15"/>
  <c r="S425" i="15"/>
  <c r="R425" i="15"/>
  <c r="Q425" i="15"/>
  <c r="P425" i="15"/>
  <c r="O425" i="15"/>
  <c r="N425" i="15"/>
  <c r="M425" i="15"/>
  <c r="L425" i="15"/>
  <c r="K425" i="15"/>
  <c r="J425" i="15"/>
  <c r="I425" i="15"/>
  <c r="H425" i="15"/>
  <c r="G425" i="15"/>
  <c r="F425" i="15"/>
  <c r="E425" i="15"/>
  <c r="C425" i="15"/>
  <c r="B425" i="15"/>
  <c r="T424" i="15"/>
  <c r="S424" i="15"/>
  <c r="R424" i="15"/>
  <c r="Q424" i="15"/>
  <c r="P424" i="15"/>
  <c r="O424" i="15"/>
  <c r="N424" i="15"/>
  <c r="M424" i="15"/>
  <c r="L424" i="15"/>
  <c r="K424" i="15"/>
  <c r="J424" i="15"/>
  <c r="I424" i="15"/>
  <c r="H424" i="15"/>
  <c r="G424" i="15"/>
  <c r="F424" i="15"/>
  <c r="E424" i="15"/>
  <c r="C424" i="15"/>
  <c r="B424" i="15"/>
  <c r="T423" i="15"/>
  <c r="S423" i="15"/>
  <c r="R423" i="15"/>
  <c r="Q423" i="15"/>
  <c r="P423" i="15"/>
  <c r="O423" i="15"/>
  <c r="N423" i="15"/>
  <c r="M423" i="15"/>
  <c r="L423" i="15"/>
  <c r="K423" i="15"/>
  <c r="J423" i="15"/>
  <c r="I423" i="15"/>
  <c r="H423" i="15"/>
  <c r="G423" i="15"/>
  <c r="F423" i="15"/>
  <c r="E423" i="15"/>
  <c r="C423" i="15"/>
  <c r="B423" i="15"/>
  <c r="T422" i="15"/>
  <c r="S422" i="15"/>
  <c r="R422" i="15"/>
  <c r="Q422" i="15"/>
  <c r="P422" i="15"/>
  <c r="O422" i="15"/>
  <c r="N422" i="15"/>
  <c r="M422" i="15"/>
  <c r="L422" i="15"/>
  <c r="K422" i="15"/>
  <c r="J422" i="15"/>
  <c r="I422" i="15"/>
  <c r="H422" i="15"/>
  <c r="G422" i="15"/>
  <c r="F422" i="15"/>
  <c r="E422" i="15"/>
  <c r="C422" i="15"/>
  <c r="B422" i="15"/>
  <c r="T421" i="15"/>
  <c r="S421" i="15"/>
  <c r="R421" i="15"/>
  <c r="Q421" i="15"/>
  <c r="P421" i="15"/>
  <c r="O421" i="15"/>
  <c r="N421" i="15"/>
  <c r="M421" i="15"/>
  <c r="L421" i="15"/>
  <c r="K421" i="15"/>
  <c r="J421" i="15"/>
  <c r="I421" i="15"/>
  <c r="H421" i="15"/>
  <c r="G421" i="15"/>
  <c r="F421" i="15"/>
  <c r="E421" i="15"/>
  <c r="C421" i="15"/>
  <c r="B421" i="15"/>
  <c r="T420" i="15"/>
  <c r="S420" i="15"/>
  <c r="R420" i="15"/>
  <c r="Q420" i="15"/>
  <c r="P420" i="15"/>
  <c r="O420" i="15"/>
  <c r="N420" i="15"/>
  <c r="M420" i="15"/>
  <c r="L420" i="15"/>
  <c r="K420" i="15"/>
  <c r="J420" i="15"/>
  <c r="I420" i="15"/>
  <c r="H420" i="15"/>
  <c r="G420" i="15"/>
  <c r="F420" i="15"/>
  <c r="E420" i="15"/>
  <c r="C420" i="15"/>
  <c r="B420" i="15"/>
  <c r="T419" i="15"/>
  <c r="S419" i="15"/>
  <c r="R419" i="15"/>
  <c r="Q419" i="15"/>
  <c r="P419" i="15"/>
  <c r="O419" i="15"/>
  <c r="N419" i="15"/>
  <c r="M419" i="15"/>
  <c r="L419" i="15"/>
  <c r="K419" i="15"/>
  <c r="J419" i="15"/>
  <c r="I419" i="15"/>
  <c r="H419" i="15"/>
  <c r="G419" i="15"/>
  <c r="F419" i="15"/>
  <c r="E419" i="15"/>
  <c r="C419" i="15"/>
  <c r="B419" i="15"/>
  <c r="T418" i="15"/>
  <c r="S418" i="15"/>
  <c r="R418" i="15"/>
  <c r="Q418" i="15"/>
  <c r="P418" i="15"/>
  <c r="O418" i="15"/>
  <c r="N418" i="15"/>
  <c r="M418" i="15"/>
  <c r="L418" i="15"/>
  <c r="K418" i="15"/>
  <c r="J418" i="15"/>
  <c r="I418" i="15"/>
  <c r="H418" i="15"/>
  <c r="G418" i="15"/>
  <c r="F418" i="15"/>
  <c r="E418" i="15"/>
  <c r="C418" i="15"/>
  <c r="B418" i="15"/>
  <c r="T417" i="15"/>
  <c r="S417" i="15"/>
  <c r="R417" i="15"/>
  <c r="Q417" i="15"/>
  <c r="P417" i="15"/>
  <c r="O417" i="15"/>
  <c r="N417" i="15"/>
  <c r="M417" i="15"/>
  <c r="L417" i="15"/>
  <c r="K417" i="15"/>
  <c r="J417" i="15"/>
  <c r="I417" i="15"/>
  <c r="H417" i="15"/>
  <c r="G417" i="15"/>
  <c r="F417" i="15"/>
  <c r="E417" i="15"/>
  <c r="C417" i="15"/>
  <c r="B417" i="15"/>
  <c r="T416" i="15"/>
  <c r="S416" i="15"/>
  <c r="R416" i="15"/>
  <c r="Q416" i="15"/>
  <c r="P416" i="15"/>
  <c r="O416" i="15"/>
  <c r="N416" i="15"/>
  <c r="M416" i="15"/>
  <c r="L416" i="15"/>
  <c r="K416" i="15"/>
  <c r="J416" i="15"/>
  <c r="I416" i="15"/>
  <c r="H416" i="15"/>
  <c r="G416" i="15"/>
  <c r="F416" i="15"/>
  <c r="E416" i="15"/>
  <c r="C416" i="15"/>
  <c r="B416" i="15"/>
  <c r="T415" i="15"/>
  <c r="S415" i="15"/>
  <c r="R415" i="15"/>
  <c r="Q415" i="15"/>
  <c r="P415" i="15"/>
  <c r="O415" i="15"/>
  <c r="N415" i="15"/>
  <c r="M415" i="15"/>
  <c r="L415" i="15"/>
  <c r="K415" i="15"/>
  <c r="J415" i="15"/>
  <c r="I415" i="15"/>
  <c r="H415" i="15"/>
  <c r="G415" i="15"/>
  <c r="F415" i="15"/>
  <c r="E415" i="15"/>
  <c r="C415" i="15"/>
  <c r="B415" i="15"/>
  <c r="T414" i="15"/>
  <c r="S414" i="15"/>
  <c r="R414" i="15"/>
  <c r="Q414" i="15"/>
  <c r="P414" i="15"/>
  <c r="O414" i="15"/>
  <c r="N414" i="15"/>
  <c r="M414" i="15"/>
  <c r="L414" i="15"/>
  <c r="K414" i="15"/>
  <c r="J414" i="15"/>
  <c r="I414" i="15"/>
  <c r="H414" i="15"/>
  <c r="G414" i="15"/>
  <c r="F414" i="15"/>
  <c r="E414" i="15"/>
  <c r="C414" i="15"/>
  <c r="B414" i="15"/>
  <c r="T413" i="15"/>
  <c r="S413" i="15"/>
  <c r="R413" i="15"/>
  <c r="Q413" i="15"/>
  <c r="P413" i="15"/>
  <c r="O413" i="15"/>
  <c r="N413" i="15"/>
  <c r="M413" i="15"/>
  <c r="L413" i="15"/>
  <c r="K413" i="15"/>
  <c r="J413" i="15"/>
  <c r="I413" i="15"/>
  <c r="H413" i="15"/>
  <c r="G413" i="15"/>
  <c r="F413" i="15"/>
  <c r="E413" i="15"/>
  <c r="C413" i="15"/>
  <c r="B413" i="15"/>
  <c r="T412" i="15"/>
  <c r="S412" i="15"/>
  <c r="R412" i="15"/>
  <c r="Q412" i="15"/>
  <c r="P412" i="15"/>
  <c r="O412" i="15"/>
  <c r="N412" i="15"/>
  <c r="M412" i="15"/>
  <c r="L412" i="15"/>
  <c r="K412" i="15"/>
  <c r="J412" i="15"/>
  <c r="I412" i="15"/>
  <c r="H412" i="15"/>
  <c r="G412" i="15"/>
  <c r="F412" i="15"/>
  <c r="E412" i="15"/>
  <c r="C412" i="15"/>
  <c r="B412" i="15"/>
  <c r="T411" i="15"/>
  <c r="S411" i="15"/>
  <c r="R411" i="15"/>
  <c r="Q411" i="15"/>
  <c r="P411" i="15"/>
  <c r="O411" i="15"/>
  <c r="N411" i="15"/>
  <c r="M411" i="15"/>
  <c r="L411" i="15"/>
  <c r="K411" i="15"/>
  <c r="J411" i="15"/>
  <c r="I411" i="15"/>
  <c r="H411" i="15"/>
  <c r="G411" i="15"/>
  <c r="F411" i="15"/>
  <c r="E411" i="15"/>
  <c r="C411" i="15"/>
  <c r="B411" i="15"/>
  <c r="T410" i="15"/>
  <c r="S410" i="15"/>
  <c r="R410" i="15"/>
  <c r="Q410" i="15"/>
  <c r="P410" i="15"/>
  <c r="O410" i="15"/>
  <c r="N410" i="15"/>
  <c r="M410" i="15"/>
  <c r="L410" i="15"/>
  <c r="K410" i="15"/>
  <c r="J410" i="15"/>
  <c r="I410" i="15"/>
  <c r="H410" i="15"/>
  <c r="G410" i="15"/>
  <c r="F410" i="15"/>
  <c r="E410" i="15"/>
  <c r="C410" i="15"/>
  <c r="B410" i="15"/>
  <c r="T409" i="15"/>
  <c r="S409" i="15"/>
  <c r="R409" i="15"/>
  <c r="Q409" i="15"/>
  <c r="P409" i="15"/>
  <c r="O409" i="15"/>
  <c r="N409" i="15"/>
  <c r="M409" i="15"/>
  <c r="L409" i="15"/>
  <c r="K409" i="15"/>
  <c r="J409" i="15"/>
  <c r="I409" i="15"/>
  <c r="H409" i="15"/>
  <c r="G409" i="15"/>
  <c r="F409" i="15"/>
  <c r="E409" i="15"/>
  <c r="C409" i="15"/>
  <c r="B409" i="15"/>
  <c r="T408" i="15"/>
  <c r="S408" i="15"/>
  <c r="R408" i="15"/>
  <c r="Q408" i="15"/>
  <c r="P408" i="15"/>
  <c r="O408" i="15"/>
  <c r="N408" i="15"/>
  <c r="M408" i="15"/>
  <c r="L408" i="15"/>
  <c r="K408" i="15"/>
  <c r="J408" i="15"/>
  <c r="I408" i="15"/>
  <c r="H408" i="15"/>
  <c r="G408" i="15"/>
  <c r="F408" i="15"/>
  <c r="E408" i="15"/>
  <c r="C408" i="15"/>
  <c r="B408" i="15"/>
  <c r="T407" i="15"/>
  <c r="S407" i="15"/>
  <c r="R407" i="15"/>
  <c r="Q407" i="15"/>
  <c r="P407" i="15"/>
  <c r="O407" i="15"/>
  <c r="N407" i="15"/>
  <c r="M407" i="15"/>
  <c r="L407" i="15"/>
  <c r="K407" i="15"/>
  <c r="J407" i="15"/>
  <c r="I407" i="15"/>
  <c r="H407" i="15"/>
  <c r="G407" i="15"/>
  <c r="F407" i="15"/>
  <c r="E407" i="15"/>
  <c r="C407" i="15"/>
  <c r="B407" i="15"/>
  <c r="T406" i="15"/>
  <c r="S406" i="15"/>
  <c r="R406" i="15"/>
  <c r="Q406" i="15"/>
  <c r="P406" i="15"/>
  <c r="O406" i="15"/>
  <c r="N406" i="15"/>
  <c r="M406" i="15"/>
  <c r="L406" i="15"/>
  <c r="K406" i="15"/>
  <c r="J406" i="15"/>
  <c r="I406" i="15"/>
  <c r="H406" i="15"/>
  <c r="G406" i="15"/>
  <c r="F406" i="15"/>
  <c r="E406" i="15"/>
  <c r="C406" i="15"/>
  <c r="B406" i="15"/>
  <c r="T405" i="15"/>
  <c r="S405" i="15"/>
  <c r="R405" i="15"/>
  <c r="Q405" i="15"/>
  <c r="P405" i="15"/>
  <c r="O405" i="15"/>
  <c r="N405" i="15"/>
  <c r="M405" i="15"/>
  <c r="L405" i="15"/>
  <c r="K405" i="15"/>
  <c r="J405" i="15"/>
  <c r="I405" i="15"/>
  <c r="H405" i="15"/>
  <c r="G405" i="15"/>
  <c r="F405" i="15"/>
  <c r="E405" i="15"/>
  <c r="C405" i="15"/>
  <c r="B405" i="15"/>
  <c r="T404" i="15"/>
  <c r="S404" i="15"/>
  <c r="R404" i="15"/>
  <c r="Q404" i="15"/>
  <c r="P404" i="15"/>
  <c r="O404" i="15"/>
  <c r="N404" i="15"/>
  <c r="M404" i="15"/>
  <c r="L404" i="15"/>
  <c r="K404" i="15"/>
  <c r="J404" i="15"/>
  <c r="I404" i="15"/>
  <c r="H404" i="15"/>
  <c r="G404" i="15"/>
  <c r="F404" i="15"/>
  <c r="E404" i="15"/>
  <c r="C404" i="15"/>
  <c r="B404" i="15"/>
  <c r="T403" i="15"/>
  <c r="S403" i="15"/>
  <c r="R403" i="15"/>
  <c r="Q403" i="15"/>
  <c r="P403" i="15"/>
  <c r="O403" i="15"/>
  <c r="N403" i="15"/>
  <c r="M403" i="15"/>
  <c r="L403" i="15"/>
  <c r="K403" i="15"/>
  <c r="J403" i="15"/>
  <c r="I403" i="15"/>
  <c r="H403" i="15"/>
  <c r="G403" i="15"/>
  <c r="F403" i="15"/>
  <c r="E403" i="15"/>
  <c r="C403" i="15"/>
  <c r="B403" i="15"/>
  <c r="T402" i="15"/>
  <c r="S402" i="15"/>
  <c r="R402" i="15"/>
  <c r="Q402" i="15"/>
  <c r="P402" i="15"/>
  <c r="O402" i="15"/>
  <c r="N402" i="15"/>
  <c r="M402" i="15"/>
  <c r="L402" i="15"/>
  <c r="K402" i="15"/>
  <c r="J402" i="15"/>
  <c r="I402" i="15"/>
  <c r="H402" i="15"/>
  <c r="G402" i="15"/>
  <c r="F402" i="15"/>
  <c r="E402" i="15"/>
  <c r="C402" i="15"/>
  <c r="B402" i="15"/>
  <c r="T401" i="15"/>
  <c r="S401" i="15"/>
  <c r="R401" i="15"/>
  <c r="Q401" i="15"/>
  <c r="P401" i="15"/>
  <c r="O401" i="15"/>
  <c r="N401" i="15"/>
  <c r="M401" i="15"/>
  <c r="L401" i="15"/>
  <c r="K401" i="15"/>
  <c r="J401" i="15"/>
  <c r="I401" i="15"/>
  <c r="H401" i="15"/>
  <c r="G401" i="15"/>
  <c r="F401" i="15"/>
  <c r="E401" i="15"/>
  <c r="C401" i="15"/>
  <c r="B401" i="15"/>
  <c r="T400" i="15"/>
  <c r="S400" i="15"/>
  <c r="R400" i="15"/>
  <c r="Q400" i="15"/>
  <c r="P400" i="15"/>
  <c r="O400" i="15"/>
  <c r="N400" i="15"/>
  <c r="M400" i="15"/>
  <c r="L400" i="15"/>
  <c r="K400" i="15"/>
  <c r="J400" i="15"/>
  <c r="I400" i="15"/>
  <c r="H400" i="15"/>
  <c r="G400" i="15"/>
  <c r="F400" i="15"/>
  <c r="E400" i="15"/>
  <c r="C400" i="15"/>
  <c r="B400" i="15"/>
  <c r="T399" i="15"/>
  <c r="S399" i="15"/>
  <c r="R399" i="15"/>
  <c r="Q399" i="15"/>
  <c r="P399" i="15"/>
  <c r="O399" i="15"/>
  <c r="N399" i="15"/>
  <c r="M399" i="15"/>
  <c r="L399" i="15"/>
  <c r="K399" i="15"/>
  <c r="J399" i="15"/>
  <c r="I399" i="15"/>
  <c r="H399" i="15"/>
  <c r="G399" i="15"/>
  <c r="F399" i="15"/>
  <c r="E399" i="15"/>
  <c r="C399" i="15"/>
  <c r="B399" i="15"/>
  <c r="T398" i="15"/>
  <c r="S398" i="15"/>
  <c r="R398" i="15"/>
  <c r="Q398" i="15"/>
  <c r="P398" i="15"/>
  <c r="O398" i="15"/>
  <c r="N398" i="15"/>
  <c r="M398" i="15"/>
  <c r="L398" i="15"/>
  <c r="K398" i="15"/>
  <c r="J398" i="15"/>
  <c r="I398" i="15"/>
  <c r="H398" i="15"/>
  <c r="G398" i="15"/>
  <c r="F398" i="15"/>
  <c r="E398" i="15"/>
  <c r="C398" i="15"/>
  <c r="B398" i="15"/>
  <c r="T397" i="15"/>
  <c r="S397" i="15"/>
  <c r="R397" i="15"/>
  <c r="Q397" i="15"/>
  <c r="P397" i="15"/>
  <c r="O397" i="15"/>
  <c r="N397" i="15"/>
  <c r="M397" i="15"/>
  <c r="L397" i="15"/>
  <c r="K397" i="15"/>
  <c r="J397" i="15"/>
  <c r="I397" i="15"/>
  <c r="H397" i="15"/>
  <c r="G397" i="15"/>
  <c r="F397" i="15"/>
  <c r="E397" i="15"/>
  <c r="C397" i="15"/>
  <c r="B397" i="15"/>
  <c r="T396" i="15"/>
  <c r="S396" i="15"/>
  <c r="R396" i="15"/>
  <c r="Q396" i="15"/>
  <c r="P396" i="15"/>
  <c r="O396" i="15"/>
  <c r="N396" i="15"/>
  <c r="M396" i="15"/>
  <c r="L396" i="15"/>
  <c r="K396" i="15"/>
  <c r="J396" i="15"/>
  <c r="I396" i="15"/>
  <c r="H396" i="15"/>
  <c r="G396" i="15"/>
  <c r="F396" i="15"/>
  <c r="E396" i="15"/>
  <c r="C396" i="15"/>
  <c r="B396" i="15"/>
  <c r="T395" i="15"/>
  <c r="S395" i="15"/>
  <c r="R395" i="15"/>
  <c r="Q395" i="15"/>
  <c r="P395" i="15"/>
  <c r="O395" i="15"/>
  <c r="N395" i="15"/>
  <c r="M395" i="15"/>
  <c r="L395" i="15"/>
  <c r="K395" i="15"/>
  <c r="J395" i="15"/>
  <c r="I395" i="15"/>
  <c r="H395" i="15"/>
  <c r="G395" i="15"/>
  <c r="F395" i="15"/>
  <c r="E395" i="15"/>
  <c r="C395" i="15"/>
  <c r="B395" i="15"/>
  <c r="T394" i="15"/>
  <c r="S394" i="15"/>
  <c r="R394" i="15"/>
  <c r="Q394" i="15"/>
  <c r="P394" i="15"/>
  <c r="O394" i="15"/>
  <c r="N394" i="15"/>
  <c r="M394" i="15"/>
  <c r="L394" i="15"/>
  <c r="K394" i="15"/>
  <c r="J394" i="15"/>
  <c r="I394" i="15"/>
  <c r="H394" i="15"/>
  <c r="G394" i="15"/>
  <c r="F394" i="15"/>
  <c r="E394" i="15"/>
  <c r="C394" i="15"/>
  <c r="B394" i="15"/>
  <c r="T393" i="15"/>
  <c r="S393" i="15"/>
  <c r="R393" i="15"/>
  <c r="Q393" i="15"/>
  <c r="P393" i="15"/>
  <c r="O393" i="15"/>
  <c r="N393" i="15"/>
  <c r="M393" i="15"/>
  <c r="L393" i="15"/>
  <c r="K393" i="15"/>
  <c r="J393" i="15"/>
  <c r="I393" i="15"/>
  <c r="H393" i="15"/>
  <c r="G393" i="15"/>
  <c r="F393" i="15"/>
  <c r="E393" i="15"/>
  <c r="C393" i="15"/>
  <c r="B393" i="15"/>
  <c r="T392" i="15"/>
  <c r="S392" i="15"/>
  <c r="R392" i="15"/>
  <c r="Q392" i="15"/>
  <c r="P392" i="15"/>
  <c r="O392" i="15"/>
  <c r="N392" i="15"/>
  <c r="M392" i="15"/>
  <c r="L392" i="15"/>
  <c r="K392" i="15"/>
  <c r="J392" i="15"/>
  <c r="I392" i="15"/>
  <c r="H392" i="15"/>
  <c r="G392" i="15"/>
  <c r="F392" i="15"/>
  <c r="E392" i="15"/>
  <c r="C392" i="15"/>
  <c r="B392" i="15"/>
  <c r="T391" i="15"/>
  <c r="S391" i="15"/>
  <c r="R391" i="15"/>
  <c r="Q391" i="15"/>
  <c r="P391" i="15"/>
  <c r="O391" i="15"/>
  <c r="N391" i="15"/>
  <c r="M391" i="15"/>
  <c r="L391" i="15"/>
  <c r="K391" i="15"/>
  <c r="J391" i="15"/>
  <c r="I391" i="15"/>
  <c r="H391" i="15"/>
  <c r="G391" i="15"/>
  <c r="F391" i="15"/>
  <c r="E391" i="15"/>
  <c r="C391" i="15"/>
  <c r="B391" i="15"/>
  <c r="T390" i="15"/>
  <c r="S390" i="15"/>
  <c r="R390" i="15"/>
  <c r="Q390" i="15"/>
  <c r="P390" i="15"/>
  <c r="O390" i="15"/>
  <c r="N390" i="15"/>
  <c r="M390" i="15"/>
  <c r="L390" i="15"/>
  <c r="K390" i="15"/>
  <c r="J390" i="15"/>
  <c r="I390" i="15"/>
  <c r="H390" i="15"/>
  <c r="G390" i="15"/>
  <c r="F390" i="15"/>
  <c r="E390" i="15"/>
  <c r="C390" i="15"/>
  <c r="B390" i="15"/>
  <c r="T389" i="15"/>
  <c r="S389" i="15"/>
  <c r="R389" i="15"/>
  <c r="Q389" i="15"/>
  <c r="P389" i="15"/>
  <c r="O389" i="15"/>
  <c r="N389" i="15"/>
  <c r="M389" i="15"/>
  <c r="L389" i="15"/>
  <c r="K389" i="15"/>
  <c r="J389" i="15"/>
  <c r="I389" i="15"/>
  <c r="H389" i="15"/>
  <c r="G389" i="15"/>
  <c r="F389" i="15"/>
  <c r="E389" i="15"/>
  <c r="C389" i="15"/>
  <c r="B389" i="15"/>
  <c r="T388" i="15"/>
  <c r="S388" i="15"/>
  <c r="R388" i="15"/>
  <c r="Q388" i="15"/>
  <c r="P388" i="15"/>
  <c r="O388" i="15"/>
  <c r="N388" i="15"/>
  <c r="M388" i="15"/>
  <c r="L388" i="15"/>
  <c r="K388" i="15"/>
  <c r="J388" i="15"/>
  <c r="I388" i="15"/>
  <c r="H388" i="15"/>
  <c r="G388" i="15"/>
  <c r="F388" i="15"/>
  <c r="E388" i="15"/>
  <c r="C388" i="15"/>
  <c r="B388" i="15"/>
  <c r="T387" i="15"/>
  <c r="S387" i="15"/>
  <c r="R387" i="15"/>
  <c r="Q387" i="15"/>
  <c r="P387" i="15"/>
  <c r="O387" i="15"/>
  <c r="N387" i="15"/>
  <c r="M387" i="15"/>
  <c r="L387" i="15"/>
  <c r="K387" i="15"/>
  <c r="J387" i="15"/>
  <c r="I387" i="15"/>
  <c r="H387" i="15"/>
  <c r="G387" i="15"/>
  <c r="F387" i="15"/>
  <c r="E387" i="15"/>
  <c r="C387" i="15"/>
  <c r="B387" i="15"/>
  <c r="T386" i="15"/>
  <c r="S386" i="15"/>
  <c r="R386" i="15"/>
  <c r="Q386" i="15"/>
  <c r="P386" i="15"/>
  <c r="O386" i="15"/>
  <c r="N386" i="15"/>
  <c r="M386" i="15"/>
  <c r="L386" i="15"/>
  <c r="K386" i="15"/>
  <c r="J386" i="15"/>
  <c r="I386" i="15"/>
  <c r="H386" i="15"/>
  <c r="G386" i="15"/>
  <c r="F386" i="15"/>
  <c r="E386" i="15"/>
  <c r="C386" i="15"/>
  <c r="B386" i="15"/>
  <c r="T385" i="15"/>
  <c r="S385" i="15"/>
  <c r="R385" i="15"/>
  <c r="Q385" i="15"/>
  <c r="P385" i="15"/>
  <c r="O385" i="15"/>
  <c r="N385" i="15"/>
  <c r="M385" i="15"/>
  <c r="L385" i="15"/>
  <c r="K385" i="15"/>
  <c r="J385" i="15"/>
  <c r="I385" i="15"/>
  <c r="H385" i="15"/>
  <c r="G385" i="15"/>
  <c r="F385" i="15"/>
  <c r="E385" i="15"/>
  <c r="C385" i="15"/>
  <c r="B385" i="15"/>
  <c r="T384" i="15"/>
  <c r="S384" i="15"/>
  <c r="R384" i="15"/>
  <c r="Q384" i="15"/>
  <c r="P384" i="15"/>
  <c r="O384" i="15"/>
  <c r="N384" i="15"/>
  <c r="M384" i="15"/>
  <c r="L384" i="15"/>
  <c r="K384" i="15"/>
  <c r="J384" i="15"/>
  <c r="I384" i="15"/>
  <c r="H384" i="15"/>
  <c r="G384" i="15"/>
  <c r="F384" i="15"/>
  <c r="E384" i="15"/>
  <c r="C384" i="15"/>
  <c r="B384" i="15"/>
  <c r="T383" i="15"/>
  <c r="S383" i="15"/>
  <c r="R383" i="15"/>
  <c r="Q383" i="15"/>
  <c r="P383" i="15"/>
  <c r="O383" i="15"/>
  <c r="N383" i="15"/>
  <c r="M383" i="15"/>
  <c r="L383" i="15"/>
  <c r="K383" i="15"/>
  <c r="J383" i="15"/>
  <c r="I383" i="15"/>
  <c r="H383" i="15"/>
  <c r="G383" i="15"/>
  <c r="F383" i="15"/>
  <c r="E383" i="15"/>
  <c r="C383" i="15"/>
  <c r="B383" i="15"/>
  <c r="T382" i="15"/>
  <c r="S382" i="15"/>
  <c r="R382" i="15"/>
  <c r="Q382" i="15"/>
  <c r="P382" i="15"/>
  <c r="O382" i="15"/>
  <c r="N382" i="15"/>
  <c r="M382" i="15"/>
  <c r="L382" i="15"/>
  <c r="K382" i="15"/>
  <c r="J382" i="15"/>
  <c r="I382" i="15"/>
  <c r="H382" i="15"/>
  <c r="G382" i="15"/>
  <c r="F382" i="15"/>
  <c r="E382" i="15"/>
  <c r="C382" i="15"/>
  <c r="B382" i="15"/>
  <c r="T381" i="15"/>
  <c r="S381" i="15"/>
  <c r="R381" i="15"/>
  <c r="Q381" i="15"/>
  <c r="P381" i="15"/>
  <c r="O381" i="15"/>
  <c r="N381" i="15"/>
  <c r="M381" i="15"/>
  <c r="L381" i="15"/>
  <c r="K381" i="15"/>
  <c r="J381" i="15"/>
  <c r="I381" i="15"/>
  <c r="H381" i="15"/>
  <c r="G381" i="15"/>
  <c r="F381" i="15"/>
  <c r="E381" i="15"/>
  <c r="C381" i="15"/>
  <c r="B381" i="15"/>
  <c r="T380" i="15"/>
  <c r="S380" i="15"/>
  <c r="R380" i="15"/>
  <c r="Q380" i="15"/>
  <c r="P380" i="15"/>
  <c r="O380" i="15"/>
  <c r="N380" i="15"/>
  <c r="M380" i="15"/>
  <c r="L380" i="15"/>
  <c r="K380" i="15"/>
  <c r="J380" i="15"/>
  <c r="I380" i="15"/>
  <c r="H380" i="15"/>
  <c r="G380" i="15"/>
  <c r="F380" i="15"/>
  <c r="E380" i="15"/>
  <c r="C380" i="15"/>
  <c r="B380" i="15"/>
  <c r="T379" i="15"/>
  <c r="S379" i="15"/>
  <c r="R379" i="15"/>
  <c r="Q379" i="15"/>
  <c r="P379" i="15"/>
  <c r="O379" i="15"/>
  <c r="N379" i="15"/>
  <c r="M379" i="15"/>
  <c r="L379" i="15"/>
  <c r="K379" i="15"/>
  <c r="J379" i="15"/>
  <c r="I379" i="15"/>
  <c r="H379" i="15"/>
  <c r="G379" i="15"/>
  <c r="F379" i="15"/>
  <c r="E379" i="15"/>
  <c r="C379" i="15"/>
  <c r="B379" i="15"/>
  <c r="T378" i="15"/>
  <c r="S378" i="15"/>
  <c r="R378" i="15"/>
  <c r="Q378" i="15"/>
  <c r="P378" i="15"/>
  <c r="O378" i="15"/>
  <c r="N378" i="15"/>
  <c r="M378" i="15"/>
  <c r="L378" i="15"/>
  <c r="K378" i="15"/>
  <c r="J378" i="15"/>
  <c r="I378" i="15"/>
  <c r="H378" i="15"/>
  <c r="G378" i="15"/>
  <c r="F378" i="15"/>
  <c r="E378" i="15"/>
  <c r="C378" i="15"/>
  <c r="B378" i="15"/>
  <c r="T377" i="15"/>
  <c r="S377" i="15"/>
  <c r="R377" i="15"/>
  <c r="Q377" i="15"/>
  <c r="P377" i="15"/>
  <c r="O377" i="15"/>
  <c r="N377" i="15"/>
  <c r="M377" i="15"/>
  <c r="L377" i="15"/>
  <c r="K377" i="15"/>
  <c r="J377" i="15"/>
  <c r="I377" i="15"/>
  <c r="H377" i="15"/>
  <c r="G377" i="15"/>
  <c r="F377" i="15"/>
  <c r="E377" i="15"/>
  <c r="C377" i="15"/>
  <c r="B377" i="15"/>
  <c r="T376" i="15"/>
  <c r="S376" i="15"/>
  <c r="R376" i="15"/>
  <c r="Q376" i="15"/>
  <c r="P376" i="15"/>
  <c r="O376" i="15"/>
  <c r="N376" i="15"/>
  <c r="M376" i="15"/>
  <c r="L376" i="15"/>
  <c r="K376" i="15"/>
  <c r="J376" i="15"/>
  <c r="I376" i="15"/>
  <c r="H376" i="15"/>
  <c r="G376" i="15"/>
  <c r="F376" i="15"/>
  <c r="E376" i="15"/>
  <c r="C376" i="15"/>
  <c r="B376" i="15"/>
  <c r="T375" i="15"/>
  <c r="S375" i="15"/>
  <c r="R375" i="15"/>
  <c r="Q375" i="15"/>
  <c r="P375" i="15"/>
  <c r="O375" i="15"/>
  <c r="N375" i="15"/>
  <c r="M375" i="15"/>
  <c r="L375" i="15"/>
  <c r="K375" i="15"/>
  <c r="J375" i="15"/>
  <c r="I375" i="15"/>
  <c r="H375" i="15"/>
  <c r="G375" i="15"/>
  <c r="F375" i="15"/>
  <c r="E375" i="15"/>
  <c r="C375" i="15"/>
  <c r="B375" i="15"/>
  <c r="T374" i="15"/>
  <c r="S374" i="15"/>
  <c r="R374" i="15"/>
  <c r="Q374" i="15"/>
  <c r="P374" i="15"/>
  <c r="O374" i="15"/>
  <c r="N374" i="15"/>
  <c r="M374" i="15"/>
  <c r="L374" i="15"/>
  <c r="K374" i="15"/>
  <c r="J374" i="15"/>
  <c r="I374" i="15"/>
  <c r="H374" i="15"/>
  <c r="G374" i="15"/>
  <c r="F374" i="15"/>
  <c r="E374" i="15"/>
  <c r="C374" i="15"/>
  <c r="B374" i="15"/>
  <c r="T373" i="15"/>
  <c r="S373" i="15"/>
  <c r="R373" i="15"/>
  <c r="Q373" i="15"/>
  <c r="P373" i="15"/>
  <c r="O373" i="15"/>
  <c r="N373" i="15"/>
  <c r="M373" i="15"/>
  <c r="L373" i="15"/>
  <c r="K373" i="15"/>
  <c r="J373" i="15"/>
  <c r="I373" i="15"/>
  <c r="H373" i="15"/>
  <c r="G373" i="15"/>
  <c r="F373" i="15"/>
  <c r="E373" i="15"/>
  <c r="C373" i="15"/>
  <c r="B373" i="15"/>
  <c r="T372" i="15"/>
  <c r="S372" i="15"/>
  <c r="R372" i="15"/>
  <c r="Q372" i="15"/>
  <c r="P372" i="15"/>
  <c r="O372" i="15"/>
  <c r="N372" i="15"/>
  <c r="M372" i="15"/>
  <c r="L372" i="15"/>
  <c r="K372" i="15"/>
  <c r="J372" i="15"/>
  <c r="I372" i="15"/>
  <c r="H372" i="15"/>
  <c r="G372" i="15"/>
  <c r="F372" i="15"/>
  <c r="E372" i="15"/>
  <c r="C372" i="15"/>
  <c r="B372" i="15"/>
  <c r="T371" i="15"/>
  <c r="S371" i="15"/>
  <c r="R371" i="15"/>
  <c r="Q371" i="15"/>
  <c r="P371" i="15"/>
  <c r="O371" i="15"/>
  <c r="N371" i="15"/>
  <c r="M371" i="15"/>
  <c r="L371" i="15"/>
  <c r="K371" i="15"/>
  <c r="J371" i="15"/>
  <c r="I371" i="15"/>
  <c r="H371" i="15"/>
  <c r="G371" i="15"/>
  <c r="F371" i="15"/>
  <c r="E371" i="15"/>
  <c r="C371" i="15"/>
  <c r="B371" i="15"/>
  <c r="T370" i="15"/>
  <c r="S370" i="15"/>
  <c r="R370" i="15"/>
  <c r="Q370" i="15"/>
  <c r="P370" i="15"/>
  <c r="O370" i="15"/>
  <c r="N370" i="15"/>
  <c r="M370" i="15"/>
  <c r="L370" i="15"/>
  <c r="K370" i="15"/>
  <c r="J370" i="15"/>
  <c r="I370" i="15"/>
  <c r="H370" i="15"/>
  <c r="G370" i="15"/>
  <c r="F370" i="15"/>
  <c r="E370" i="15"/>
  <c r="C370" i="15"/>
  <c r="B370" i="15"/>
  <c r="T369" i="15"/>
  <c r="S369" i="15"/>
  <c r="R369" i="15"/>
  <c r="Q369" i="15"/>
  <c r="P369" i="15"/>
  <c r="O369" i="15"/>
  <c r="N369" i="15"/>
  <c r="M369" i="15"/>
  <c r="L369" i="15"/>
  <c r="K369" i="15"/>
  <c r="J369" i="15"/>
  <c r="I369" i="15"/>
  <c r="H369" i="15"/>
  <c r="G369" i="15"/>
  <c r="F369" i="15"/>
  <c r="E369" i="15"/>
  <c r="C369" i="15"/>
  <c r="B369" i="15"/>
  <c r="T368" i="15"/>
  <c r="S368" i="15"/>
  <c r="R368" i="15"/>
  <c r="Q368" i="15"/>
  <c r="P368" i="15"/>
  <c r="O368" i="15"/>
  <c r="N368" i="15"/>
  <c r="M368" i="15"/>
  <c r="L368" i="15"/>
  <c r="K368" i="15"/>
  <c r="J368" i="15"/>
  <c r="I368" i="15"/>
  <c r="H368" i="15"/>
  <c r="G368" i="15"/>
  <c r="F368" i="15"/>
  <c r="E368" i="15"/>
  <c r="C368" i="15"/>
  <c r="B368" i="15"/>
  <c r="T367" i="15"/>
  <c r="S367" i="15"/>
  <c r="R367" i="15"/>
  <c r="Q367" i="15"/>
  <c r="P367" i="15"/>
  <c r="O367" i="15"/>
  <c r="N367" i="15"/>
  <c r="M367" i="15"/>
  <c r="L367" i="15"/>
  <c r="K367" i="15"/>
  <c r="J367" i="15"/>
  <c r="I367" i="15"/>
  <c r="H367" i="15"/>
  <c r="G367" i="15"/>
  <c r="F367" i="15"/>
  <c r="E367" i="15"/>
  <c r="C367" i="15"/>
  <c r="B367" i="15"/>
  <c r="T366" i="15"/>
  <c r="S366" i="15"/>
  <c r="R366" i="15"/>
  <c r="Q366" i="15"/>
  <c r="P366" i="15"/>
  <c r="O366" i="15"/>
  <c r="N366" i="15"/>
  <c r="M366" i="15"/>
  <c r="L366" i="15"/>
  <c r="K366" i="15"/>
  <c r="J366" i="15"/>
  <c r="I366" i="15"/>
  <c r="H366" i="15"/>
  <c r="G366" i="15"/>
  <c r="F366" i="15"/>
  <c r="E366" i="15"/>
  <c r="C366" i="15"/>
  <c r="B366" i="15"/>
  <c r="T365" i="15"/>
  <c r="S365" i="15"/>
  <c r="R365" i="15"/>
  <c r="Q365" i="15"/>
  <c r="P365" i="15"/>
  <c r="O365" i="15"/>
  <c r="N365" i="15"/>
  <c r="M365" i="15"/>
  <c r="L365" i="15"/>
  <c r="K365" i="15"/>
  <c r="J365" i="15"/>
  <c r="I365" i="15"/>
  <c r="H365" i="15"/>
  <c r="G365" i="15"/>
  <c r="F365" i="15"/>
  <c r="E365" i="15"/>
  <c r="C365" i="15"/>
  <c r="B365" i="15"/>
  <c r="T364" i="15"/>
  <c r="S364" i="15"/>
  <c r="R364" i="15"/>
  <c r="Q364" i="15"/>
  <c r="P364" i="15"/>
  <c r="O364" i="15"/>
  <c r="N364" i="15"/>
  <c r="M364" i="15"/>
  <c r="L364" i="15"/>
  <c r="K364" i="15"/>
  <c r="J364" i="15"/>
  <c r="I364" i="15"/>
  <c r="H364" i="15"/>
  <c r="G364" i="15"/>
  <c r="F364" i="15"/>
  <c r="E364" i="15"/>
  <c r="C364" i="15"/>
  <c r="B364" i="15"/>
  <c r="T363" i="15"/>
  <c r="S363" i="15"/>
  <c r="R363" i="15"/>
  <c r="Q363" i="15"/>
  <c r="P363" i="15"/>
  <c r="O363" i="15"/>
  <c r="N363" i="15"/>
  <c r="M363" i="15"/>
  <c r="L363" i="15"/>
  <c r="K363" i="15"/>
  <c r="J363" i="15"/>
  <c r="I363" i="15"/>
  <c r="H363" i="15"/>
  <c r="G363" i="15"/>
  <c r="F363" i="15"/>
  <c r="E363" i="15"/>
  <c r="C363" i="15"/>
  <c r="B363" i="15"/>
  <c r="T362" i="15"/>
  <c r="S362" i="15"/>
  <c r="R362" i="15"/>
  <c r="Q362" i="15"/>
  <c r="P362" i="15"/>
  <c r="O362" i="15"/>
  <c r="N362" i="15"/>
  <c r="M362" i="15"/>
  <c r="L362" i="15"/>
  <c r="K362" i="15"/>
  <c r="J362" i="15"/>
  <c r="I362" i="15"/>
  <c r="H362" i="15"/>
  <c r="G362" i="15"/>
  <c r="F362" i="15"/>
  <c r="E362" i="15"/>
  <c r="C362" i="15"/>
  <c r="B362" i="15"/>
  <c r="T361" i="15"/>
  <c r="S361" i="15"/>
  <c r="R361" i="15"/>
  <c r="Q361" i="15"/>
  <c r="P361" i="15"/>
  <c r="O361" i="15"/>
  <c r="N361" i="15"/>
  <c r="M361" i="15"/>
  <c r="L361" i="15"/>
  <c r="K361" i="15"/>
  <c r="J361" i="15"/>
  <c r="I361" i="15"/>
  <c r="H361" i="15"/>
  <c r="G361" i="15"/>
  <c r="F361" i="15"/>
  <c r="E361" i="15"/>
  <c r="C361" i="15"/>
  <c r="B361" i="15"/>
  <c r="T360" i="15"/>
  <c r="S360" i="15"/>
  <c r="R360" i="15"/>
  <c r="Q360" i="15"/>
  <c r="P360" i="15"/>
  <c r="O360" i="15"/>
  <c r="N360" i="15"/>
  <c r="M360" i="15"/>
  <c r="L360" i="15"/>
  <c r="K360" i="15"/>
  <c r="J360" i="15"/>
  <c r="I360" i="15"/>
  <c r="H360" i="15"/>
  <c r="G360" i="15"/>
  <c r="F360" i="15"/>
  <c r="E360" i="15"/>
  <c r="C360" i="15"/>
  <c r="B360" i="15"/>
  <c r="T359" i="15"/>
  <c r="S359" i="15"/>
  <c r="R359" i="15"/>
  <c r="Q359" i="15"/>
  <c r="P359" i="15"/>
  <c r="O359" i="15"/>
  <c r="N359" i="15"/>
  <c r="M359" i="15"/>
  <c r="L359" i="15"/>
  <c r="K359" i="15"/>
  <c r="J359" i="15"/>
  <c r="I359" i="15"/>
  <c r="H359" i="15"/>
  <c r="G359" i="15"/>
  <c r="F359" i="15"/>
  <c r="E359" i="15"/>
  <c r="C359" i="15"/>
  <c r="B359" i="15"/>
  <c r="T358" i="15"/>
  <c r="S358" i="15"/>
  <c r="R358" i="15"/>
  <c r="Q358" i="15"/>
  <c r="P358" i="15"/>
  <c r="O358" i="15"/>
  <c r="N358" i="15"/>
  <c r="M358" i="15"/>
  <c r="L358" i="15"/>
  <c r="K358" i="15"/>
  <c r="J358" i="15"/>
  <c r="I358" i="15"/>
  <c r="H358" i="15"/>
  <c r="G358" i="15"/>
  <c r="F358" i="15"/>
  <c r="E358" i="15"/>
  <c r="C358" i="15"/>
  <c r="B358" i="15"/>
  <c r="T357" i="15"/>
  <c r="S357" i="15"/>
  <c r="R357" i="15"/>
  <c r="Q357" i="15"/>
  <c r="P357" i="15"/>
  <c r="O357" i="15"/>
  <c r="N357" i="15"/>
  <c r="M357" i="15"/>
  <c r="L357" i="15"/>
  <c r="K357" i="15"/>
  <c r="J357" i="15"/>
  <c r="I357" i="15"/>
  <c r="H357" i="15"/>
  <c r="G357" i="15"/>
  <c r="F357" i="15"/>
  <c r="E357" i="15"/>
  <c r="C357" i="15"/>
  <c r="B357" i="15"/>
  <c r="T356" i="15"/>
  <c r="S356" i="15"/>
  <c r="R356" i="15"/>
  <c r="Q356" i="15"/>
  <c r="P356" i="15"/>
  <c r="O356" i="15"/>
  <c r="N356" i="15"/>
  <c r="M356" i="15"/>
  <c r="L356" i="15"/>
  <c r="K356" i="15"/>
  <c r="J356" i="15"/>
  <c r="I356" i="15"/>
  <c r="H356" i="15"/>
  <c r="G356" i="15"/>
  <c r="F356" i="15"/>
  <c r="E356" i="15"/>
  <c r="C356" i="15"/>
  <c r="B356" i="15"/>
  <c r="T355" i="15"/>
  <c r="S355" i="15"/>
  <c r="R355" i="15"/>
  <c r="Q355" i="15"/>
  <c r="P355" i="15"/>
  <c r="O355" i="15"/>
  <c r="N355" i="15"/>
  <c r="M355" i="15"/>
  <c r="L355" i="15"/>
  <c r="K355" i="15"/>
  <c r="J355" i="15"/>
  <c r="I355" i="15"/>
  <c r="H355" i="15"/>
  <c r="G355" i="15"/>
  <c r="F355" i="15"/>
  <c r="E355" i="15"/>
  <c r="C355" i="15"/>
  <c r="B355" i="15"/>
  <c r="T354" i="15"/>
  <c r="S354" i="15"/>
  <c r="R354" i="15"/>
  <c r="Q354" i="15"/>
  <c r="P354" i="15"/>
  <c r="O354" i="15"/>
  <c r="N354" i="15"/>
  <c r="M354" i="15"/>
  <c r="L354" i="15"/>
  <c r="K354" i="15"/>
  <c r="J354" i="15"/>
  <c r="I354" i="15"/>
  <c r="H354" i="15"/>
  <c r="G354" i="15"/>
  <c r="F354" i="15"/>
  <c r="E354" i="15"/>
  <c r="C354" i="15"/>
  <c r="B354" i="15"/>
  <c r="T353" i="15"/>
  <c r="S353" i="15"/>
  <c r="R353" i="15"/>
  <c r="Q353" i="15"/>
  <c r="P353" i="15"/>
  <c r="O353" i="15"/>
  <c r="N353" i="15"/>
  <c r="M353" i="15"/>
  <c r="L353" i="15"/>
  <c r="K353" i="15"/>
  <c r="J353" i="15"/>
  <c r="I353" i="15"/>
  <c r="H353" i="15"/>
  <c r="G353" i="15"/>
  <c r="F353" i="15"/>
  <c r="E353" i="15"/>
  <c r="C353" i="15"/>
  <c r="B353" i="15"/>
  <c r="T352" i="15"/>
  <c r="S352" i="15"/>
  <c r="R352" i="15"/>
  <c r="Q352" i="15"/>
  <c r="P352" i="15"/>
  <c r="O352" i="15"/>
  <c r="N352" i="15"/>
  <c r="M352" i="15"/>
  <c r="L352" i="15"/>
  <c r="K352" i="15"/>
  <c r="J352" i="15"/>
  <c r="I352" i="15"/>
  <c r="H352" i="15"/>
  <c r="G352" i="15"/>
  <c r="F352" i="15"/>
  <c r="E352" i="15"/>
  <c r="C352" i="15"/>
  <c r="B352" i="15"/>
  <c r="T351" i="15"/>
  <c r="S351" i="15"/>
  <c r="R351" i="15"/>
  <c r="Q351" i="15"/>
  <c r="P351" i="15"/>
  <c r="O351" i="15"/>
  <c r="N351" i="15"/>
  <c r="M351" i="15"/>
  <c r="L351" i="15"/>
  <c r="K351" i="15"/>
  <c r="J351" i="15"/>
  <c r="I351" i="15"/>
  <c r="H351" i="15"/>
  <c r="G351" i="15"/>
  <c r="F351" i="15"/>
  <c r="E351" i="15"/>
  <c r="C351" i="15"/>
  <c r="B351" i="15"/>
  <c r="T350" i="15"/>
  <c r="S350" i="15"/>
  <c r="R350" i="15"/>
  <c r="Q350" i="15"/>
  <c r="P350" i="15"/>
  <c r="O350" i="15"/>
  <c r="N350" i="15"/>
  <c r="M350" i="15"/>
  <c r="L350" i="15"/>
  <c r="K350" i="15"/>
  <c r="J350" i="15"/>
  <c r="I350" i="15"/>
  <c r="H350" i="15"/>
  <c r="G350" i="15"/>
  <c r="F350" i="15"/>
  <c r="E350" i="15"/>
  <c r="C350" i="15"/>
  <c r="B350" i="15"/>
  <c r="T349" i="15"/>
  <c r="S349" i="15"/>
  <c r="R349" i="15"/>
  <c r="Q349" i="15"/>
  <c r="P349" i="15"/>
  <c r="O349" i="15"/>
  <c r="N349" i="15"/>
  <c r="M349" i="15"/>
  <c r="L349" i="15"/>
  <c r="K349" i="15"/>
  <c r="J349" i="15"/>
  <c r="I349" i="15"/>
  <c r="H349" i="15"/>
  <c r="G349" i="15"/>
  <c r="F349" i="15"/>
  <c r="E349" i="15"/>
  <c r="C349" i="15"/>
  <c r="B349" i="15"/>
  <c r="T348" i="15"/>
  <c r="S348" i="15"/>
  <c r="R348" i="15"/>
  <c r="Q348" i="15"/>
  <c r="P348" i="15"/>
  <c r="O348" i="15"/>
  <c r="N348" i="15"/>
  <c r="M348" i="15"/>
  <c r="L348" i="15"/>
  <c r="K348" i="15"/>
  <c r="J348" i="15"/>
  <c r="I348" i="15"/>
  <c r="H348" i="15"/>
  <c r="G348" i="15"/>
  <c r="F348" i="15"/>
  <c r="E348" i="15"/>
  <c r="C348" i="15"/>
  <c r="B348" i="15"/>
  <c r="T347" i="15"/>
  <c r="S347" i="15"/>
  <c r="R347" i="15"/>
  <c r="Q347" i="15"/>
  <c r="P347" i="15"/>
  <c r="O347" i="15"/>
  <c r="N347" i="15"/>
  <c r="M347" i="15"/>
  <c r="L347" i="15"/>
  <c r="K347" i="15"/>
  <c r="J347" i="15"/>
  <c r="I347" i="15"/>
  <c r="H347" i="15"/>
  <c r="G347" i="15"/>
  <c r="F347" i="15"/>
  <c r="E347" i="15"/>
  <c r="C347" i="15"/>
  <c r="B347" i="15"/>
  <c r="T346" i="15"/>
  <c r="S346" i="15"/>
  <c r="R346" i="15"/>
  <c r="Q346" i="15"/>
  <c r="P346" i="15"/>
  <c r="O346" i="15"/>
  <c r="N346" i="15"/>
  <c r="M346" i="15"/>
  <c r="L346" i="15"/>
  <c r="K346" i="15"/>
  <c r="J346" i="15"/>
  <c r="I346" i="15"/>
  <c r="H346" i="15"/>
  <c r="G346" i="15"/>
  <c r="F346" i="15"/>
  <c r="E346" i="15"/>
  <c r="C346" i="15"/>
  <c r="B346" i="15"/>
  <c r="T345" i="15"/>
  <c r="S345" i="15"/>
  <c r="R345" i="15"/>
  <c r="Q345" i="15"/>
  <c r="P345" i="15"/>
  <c r="O345" i="15"/>
  <c r="N345" i="15"/>
  <c r="M345" i="15"/>
  <c r="L345" i="15"/>
  <c r="K345" i="15"/>
  <c r="J345" i="15"/>
  <c r="I345" i="15"/>
  <c r="H345" i="15"/>
  <c r="G345" i="15"/>
  <c r="F345" i="15"/>
  <c r="E345" i="15"/>
  <c r="C345" i="15"/>
  <c r="B345" i="15"/>
  <c r="T344" i="15"/>
  <c r="S344" i="15"/>
  <c r="R344" i="15"/>
  <c r="Q344" i="15"/>
  <c r="P344" i="15"/>
  <c r="O344" i="15"/>
  <c r="N344" i="15"/>
  <c r="M344" i="15"/>
  <c r="L344" i="15"/>
  <c r="K344" i="15"/>
  <c r="J344" i="15"/>
  <c r="I344" i="15"/>
  <c r="H344" i="15"/>
  <c r="G344" i="15"/>
  <c r="F344" i="15"/>
  <c r="E344" i="15"/>
  <c r="C344" i="15"/>
  <c r="B344" i="15"/>
  <c r="T343" i="15"/>
  <c r="S343" i="15"/>
  <c r="R343" i="15"/>
  <c r="Q343" i="15"/>
  <c r="P343" i="15"/>
  <c r="O343" i="15"/>
  <c r="N343" i="15"/>
  <c r="M343" i="15"/>
  <c r="L343" i="15"/>
  <c r="K343" i="15"/>
  <c r="J343" i="15"/>
  <c r="I343" i="15"/>
  <c r="H343" i="15"/>
  <c r="G343" i="15"/>
  <c r="F343" i="15"/>
  <c r="E343" i="15"/>
  <c r="C343" i="15"/>
  <c r="B343" i="15"/>
  <c r="T342" i="15"/>
  <c r="S342" i="15"/>
  <c r="R342" i="15"/>
  <c r="Q342" i="15"/>
  <c r="P342" i="15"/>
  <c r="O342" i="15"/>
  <c r="N342" i="15"/>
  <c r="M342" i="15"/>
  <c r="L342" i="15"/>
  <c r="K342" i="15"/>
  <c r="J342" i="15"/>
  <c r="I342" i="15"/>
  <c r="H342" i="15"/>
  <c r="G342" i="15"/>
  <c r="F342" i="15"/>
  <c r="E342" i="15"/>
  <c r="C342" i="15"/>
  <c r="B342" i="15"/>
  <c r="T341" i="15"/>
  <c r="S341" i="15"/>
  <c r="R341" i="15"/>
  <c r="Q341" i="15"/>
  <c r="P341" i="15"/>
  <c r="O341" i="15"/>
  <c r="N341" i="15"/>
  <c r="M341" i="15"/>
  <c r="L341" i="15"/>
  <c r="K341" i="15"/>
  <c r="J341" i="15"/>
  <c r="I341" i="15"/>
  <c r="H341" i="15"/>
  <c r="G341" i="15"/>
  <c r="F341" i="15"/>
  <c r="E341" i="15"/>
  <c r="C341" i="15"/>
  <c r="B341" i="15"/>
  <c r="T340" i="15"/>
  <c r="S340" i="15"/>
  <c r="R340" i="15"/>
  <c r="Q340" i="15"/>
  <c r="P340" i="15"/>
  <c r="O340" i="15"/>
  <c r="N340" i="15"/>
  <c r="M340" i="15"/>
  <c r="L340" i="15"/>
  <c r="K340" i="15"/>
  <c r="J340" i="15"/>
  <c r="I340" i="15"/>
  <c r="H340" i="15"/>
  <c r="G340" i="15"/>
  <c r="F340" i="15"/>
  <c r="E340" i="15"/>
  <c r="C340" i="15"/>
  <c r="B340" i="15"/>
  <c r="T339" i="15"/>
  <c r="S339" i="15"/>
  <c r="R339" i="15"/>
  <c r="Q339" i="15"/>
  <c r="P339" i="15"/>
  <c r="O339" i="15"/>
  <c r="N339" i="15"/>
  <c r="M339" i="15"/>
  <c r="L339" i="15"/>
  <c r="K339" i="15"/>
  <c r="J339" i="15"/>
  <c r="I339" i="15"/>
  <c r="H339" i="15"/>
  <c r="G339" i="15"/>
  <c r="F339" i="15"/>
  <c r="E339" i="15"/>
  <c r="C339" i="15"/>
  <c r="B339" i="15"/>
  <c r="T338" i="15"/>
  <c r="S338" i="15"/>
  <c r="R338" i="15"/>
  <c r="Q338" i="15"/>
  <c r="P338" i="15"/>
  <c r="O338" i="15"/>
  <c r="N338" i="15"/>
  <c r="M338" i="15"/>
  <c r="L338" i="15"/>
  <c r="K338" i="15"/>
  <c r="J338" i="15"/>
  <c r="I338" i="15"/>
  <c r="H338" i="15"/>
  <c r="G338" i="15"/>
  <c r="F338" i="15"/>
  <c r="E338" i="15"/>
  <c r="C338" i="15"/>
  <c r="B338" i="15"/>
  <c r="T337" i="15"/>
  <c r="S337" i="15"/>
  <c r="R337" i="15"/>
  <c r="Q337" i="15"/>
  <c r="P337" i="15"/>
  <c r="O337" i="15"/>
  <c r="N337" i="15"/>
  <c r="M337" i="15"/>
  <c r="L337" i="15"/>
  <c r="K337" i="15"/>
  <c r="J337" i="15"/>
  <c r="I337" i="15"/>
  <c r="H337" i="15"/>
  <c r="G337" i="15"/>
  <c r="F337" i="15"/>
  <c r="E337" i="15"/>
  <c r="C337" i="15"/>
  <c r="B337" i="15"/>
  <c r="T336" i="15"/>
  <c r="S336" i="15"/>
  <c r="R336" i="15"/>
  <c r="Q336" i="15"/>
  <c r="P336" i="15"/>
  <c r="O336" i="15"/>
  <c r="N336" i="15"/>
  <c r="M336" i="15"/>
  <c r="L336" i="15"/>
  <c r="K336" i="15"/>
  <c r="J336" i="15"/>
  <c r="I336" i="15"/>
  <c r="H336" i="15"/>
  <c r="G336" i="15"/>
  <c r="F336" i="15"/>
  <c r="E336" i="15"/>
  <c r="C336" i="15"/>
  <c r="B336" i="15"/>
  <c r="T335" i="15"/>
  <c r="S335" i="15"/>
  <c r="R335" i="15"/>
  <c r="Q335" i="15"/>
  <c r="P335" i="15"/>
  <c r="O335" i="15"/>
  <c r="N335" i="15"/>
  <c r="M335" i="15"/>
  <c r="L335" i="15"/>
  <c r="K335" i="15"/>
  <c r="J335" i="15"/>
  <c r="I335" i="15"/>
  <c r="H335" i="15"/>
  <c r="G335" i="15"/>
  <c r="F335" i="15"/>
  <c r="E335" i="15"/>
  <c r="C335" i="15"/>
  <c r="B335" i="15"/>
  <c r="T334" i="15"/>
  <c r="S334" i="15"/>
  <c r="R334" i="15"/>
  <c r="Q334" i="15"/>
  <c r="P334" i="15"/>
  <c r="O334" i="15"/>
  <c r="N334" i="15"/>
  <c r="M334" i="15"/>
  <c r="L334" i="15"/>
  <c r="K334" i="15"/>
  <c r="J334" i="15"/>
  <c r="I334" i="15"/>
  <c r="H334" i="15"/>
  <c r="G334" i="15"/>
  <c r="F334" i="15"/>
  <c r="E334" i="15"/>
  <c r="C334" i="15"/>
  <c r="B334" i="15"/>
  <c r="T333" i="15"/>
  <c r="S333" i="15"/>
  <c r="R333" i="15"/>
  <c r="Q333" i="15"/>
  <c r="P333" i="15"/>
  <c r="O333" i="15"/>
  <c r="N333" i="15"/>
  <c r="M333" i="15"/>
  <c r="L333" i="15"/>
  <c r="K333" i="15"/>
  <c r="J333" i="15"/>
  <c r="I333" i="15"/>
  <c r="H333" i="15"/>
  <c r="G333" i="15"/>
  <c r="F333" i="15"/>
  <c r="E333" i="15"/>
  <c r="C333" i="15"/>
  <c r="B333" i="15"/>
  <c r="T332" i="15"/>
  <c r="S332" i="15"/>
  <c r="R332" i="15"/>
  <c r="Q332" i="15"/>
  <c r="P332" i="15"/>
  <c r="O332" i="15"/>
  <c r="N332" i="15"/>
  <c r="M332" i="15"/>
  <c r="L332" i="15"/>
  <c r="K332" i="15"/>
  <c r="J332" i="15"/>
  <c r="I332" i="15"/>
  <c r="H332" i="15"/>
  <c r="G332" i="15"/>
  <c r="F332" i="15"/>
  <c r="E332" i="15"/>
  <c r="C332" i="15"/>
  <c r="B332" i="15"/>
  <c r="T331" i="15"/>
  <c r="S331" i="15"/>
  <c r="R331" i="15"/>
  <c r="Q331" i="15"/>
  <c r="P331" i="15"/>
  <c r="O331" i="15"/>
  <c r="N331" i="15"/>
  <c r="M331" i="15"/>
  <c r="L331" i="15"/>
  <c r="K331" i="15"/>
  <c r="J331" i="15"/>
  <c r="I331" i="15"/>
  <c r="H331" i="15"/>
  <c r="G331" i="15"/>
  <c r="F331" i="15"/>
  <c r="E331" i="15"/>
  <c r="C331" i="15"/>
  <c r="B331" i="15"/>
  <c r="T330" i="15"/>
  <c r="S330" i="15"/>
  <c r="R330" i="15"/>
  <c r="Q330" i="15"/>
  <c r="P330" i="15"/>
  <c r="O330" i="15"/>
  <c r="N330" i="15"/>
  <c r="M330" i="15"/>
  <c r="L330" i="15"/>
  <c r="K330" i="15"/>
  <c r="J330" i="15"/>
  <c r="I330" i="15"/>
  <c r="H330" i="15"/>
  <c r="G330" i="15"/>
  <c r="F330" i="15"/>
  <c r="E330" i="15"/>
  <c r="C330" i="15"/>
  <c r="B330" i="15"/>
  <c r="T329" i="15"/>
  <c r="S329" i="15"/>
  <c r="R329" i="15"/>
  <c r="Q329" i="15"/>
  <c r="P329" i="15"/>
  <c r="O329" i="15"/>
  <c r="N329" i="15"/>
  <c r="M329" i="15"/>
  <c r="L329" i="15"/>
  <c r="K329" i="15"/>
  <c r="J329" i="15"/>
  <c r="I329" i="15"/>
  <c r="H329" i="15"/>
  <c r="G329" i="15"/>
  <c r="F329" i="15"/>
  <c r="E329" i="15"/>
  <c r="C329" i="15"/>
  <c r="B329" i="15"/>
  <c r="T328" i="15"/>
  <c r="S328" i="15"/>
  <c r="R328" i="15"/>
  <c r="Q328" i="15"/>
  <c r="P328" i="15"/>
  <c r="O328" i="15"/>
  <c r="N328" i="15"/>
  <c r="M328" i="15"/>
  <c r="L328" i="15"/>
  <c r="K328" i="15"/>
  <c r="J328" i="15"/>
  <c r="I328" i="15"/>
  <c r="H328" i="15"/>
  <c r="G328" i="15"/>
  <c r="F328" i="15"/>
  <c r="E328" i="15"/>
  <c r="C328" i="15"/>
  <c r="B328" i="15"/>
  <c r="T327" i="15"/>
  <c r="S327" i="15"/>
  <c r="R327" i="15"/>
  <c r="Q327" i="15"/>
  <c r="P327" i="15"/>
  <c r="O327" i="15"/>
  <c r="N327" i="15"/>
  <c r="M327" i="15"/>
  <c r="L327" i="15"/>
  <c r="K327" i="15"/>
  <c r="J327" i="15"/>
  <c r="I327" i="15"/>
  <c r="H327" i="15"/>
  <c r="G327" i="15"/>
  <c r="F327" i="15"/>
  <c r="E327" i="15"/>
  <c r="C327" i="15"/>
  <c r="B327" i="15"/>
  <c r="T326" i="15"/>
  <c r="S326" i="15"/>
  <c r="R326" i="15"/>
  <c r="Q326" i="15"/>
  <c r="P326" i="15"/>
  <c r="O326" i="15"/>
  <c r="N326" i="15"/>
  <c r="M326" i="15"/>
  <c r="L326" i="15"/>
  <c r="K326" i="15"/>
  <c r="J326" i="15"/>
  <c r="I326" i="15"/>
  <c r="H326" i="15"/>
  <c r="G326" i="15"/>
  <c r="F326" i="15"/>
  <c r="E326" i="15"/>
  <c r="C326" i="15"/>
  <c r="B326" i="15"/>
  <c r="T325" i="15"/>
  <c r="S325" i="15"/>
  <c r="R325" i="15"/>
  <c r="Q325" i="15"/>
  <c r="P325" i="15"/>
  <c r="O325" i="15"/>
  <c r="N325" i="15"/>
  <c r="M325" i="15"/>
  <c r="L325" i="15"/>
  <c r="K325" i="15"/>
  <c r="J325" i="15"/>
  <c r="I325" i="15"/>
  <c r="H325" i="15"/>
  <c r="G325" i="15"/>
  <c r="F325" i="15"/>
  <c r="E325" i="15"/>
  <c r="C325" i="15"/>
  <c r="B325" i="15"/>
  <c r="T324" i="15"/>
  <c r="S324" i="15"/>
  <c r="R324" i="15"/>
  <c r="Q324" i="15"/>
  <c r="P324" i="15"/>
  <c r="O324" i="15"/>
  <c r="N324" i="15"/>
  <c r="M324" i="15"/>
  <c r="L324" i="15"/>
  <c r="K324" i="15"/>
  <c r="J324" i="15"/>
  <c r="I324" i="15"/>
  <c r="H324" i="15"/>
  <c r="G324" i="15"/>
  <c r="F324" i="15"/>
  <c r="E324" i="15"/>
  <c r="C324" i="15"/>
  <c r="B324" i="15"/>
  <c r="T323" i="15"/>
  <c r="S323" i="15"/>
  <c r="R323" i="15"/>
  <c r="Q323" i="15"/>
  <c r="P323" i="15"/>
  <c r="O323" i="15"/>
  <c r="N323" i="15"/>
  <c r="M323" i="15"/>
  <c r="L323" i="15"/>
  <c r="K323" i="15"/>
  <c r="J323" i="15"/>
  <c r="I323" i="15"/>
  <c r="H323" i="15"/>
  <c r="G323" i="15"/>
  <c r="F323" i="15"/>
  <c r="E323" i="15"/>
  <c r="C323" i="15"/>
  <c r="B323" i="15"/>
  <c r="T322" i="15"/>
  <c r="S322" i="15"/>
  <c r="R322" i="15"/>
  <c r="Q322" i="15"/>
  <c r="P322" i="15"/>
  <c r="O322" i="15"/>
  <c r="N322" i="15"/>
  <c r="M322" i="15"/>
  <c r="L322" i="15"/>
  <c r="K322" i="15"/>
  <c r="J322" i="15"/>
  <c r="I322" i="15"/>
  <c r="H322" i="15"/>
  <c r="G322" i="15"/>
  <c r="F322" i="15"/>
  <c r="E322" i="15"/>
  <c r="C322" i="15"/>
  <c r="B322" i="15"/>
  <c r="T321" i="15"/>
  <c r="S321" i="15"/>
  <c r="R321" i="15"/>
  <c r="Q321" i="15"/>
  <c r="P321" i="15"/>
  <c r="O321" i="15"/>
  <c r="N321" i="15"/>
  <c r="M321" i="15"/>
  <c r="L321" i="15"/>
  <c r="K321" i="15"/>
  <c r="J321" i="15"/>
  <c r="I321" i="15"/>
  <c r="H321" i="15"/>
  <c r="G321" i="15"/>
  <c r="F321" i="15"/>
  <c r="E321" i="15"/>
  <c r="C321" i="15"/>
  <c r="B321" i="15"/>
  <c r="T320" i="15"/>
  <c r="S320" i="15"/>
  <c r="R320" i="15"/>
  <c r="Q320" i="15"/>
  <c r="P320" i="15"/>
  <c r="O320" i="15"/>
  <c r="N320" i="15"/>
  <c r="M320" i="15"/>
  <c r="L320" i="15"/>
  <c r="K320" i="15"/>
  <c r="J320" i="15"/>
  <c r="I320" i="15"/>
  <c r="H320" i="15"/>
  <c r="G320" i="15"/>
  <c r="F320" i="15"/>
  <c r="E320" i="15"/>
  <c r="C320" i="15"/>
  <c r="B320" i="15"/>
  <c r="T319" i="15"/>
  <c r="S319" i="15"/>
  <c r="R319" i="15"/>
  <c r="Q319" i="15"/>
  <c r="P319" i="15"/>
  <c r="O319" i="15"/>
  <c r="N319" i="15"/>
  <c r="M319" i="15"/>
  <c r="L319" i="15"/>
  <c r="K319" i="15"/>
  <c r="J319" i="15"/>
  <c r="I319" i="15"/>
  <c r="H319" i="15"/>
  <c r="G319" i="15"/>
  <c r="F319" i="15"/>
  <c r="E319" i="15"/>
  <c r="C319" i="15"/>
  <c r="B319" i="15"/>
  <c r="T318" i="15"/>
  <c r="S318" i="15"/>
  <c r="R318" i="15"/>
  <c r="Q318" i="15"/>
  <c r="P318" i="15"/>
  <c r="O318" i="15"/>
  <c r="N318" i="15"/>
  <c r="M318" i="15"/>
  <c r="L318" i="15"/>
  <c r="K318" i="15"/>
  <c r="J318" i="15"/>
  <c r="I318" i="15"/>
  <c r="H318" i="15"/>
  <c r="G318" i="15"/>
  <c r="F318" i="15"/>
  <c r="E318" i="15"/>
  <c r="C318" i="15"/>
  <c r="B318" i="15"/>
  <c r="T317" i="15"/>
  <c r="S317" i="15"/>
  <c r="R317" i="15"/>
  <c r="Q317" i="15"/>
  <c r="P317" i="15"/>
  <c r="O317" i="15"/>
  <c r="N317" i="15"/>
  <c r="M317" i="15"/>
  <c r="L317" i="15"/>
  <c r="K317" i="15"/>
  <c r="J317" i="15"/>
  <c r="I317" i="15"/>
  <c r="H317" i="15"/>
  <c r="G317" i="15"/>
  <c r="F317" i="15"/>
  <c r="E317" i="15"/>
  <c r="C317" i="15"/>
  <c r="B317" i="15"/>
  <c r="T316" i="15"/>
  <c r="S316" i="15"/>
  <c r="R316" i="15"/>
  <c r="Q316" i="15"/>
  <c r="P316" i="15"/>
  <c r="O316" i="15"/>
  <c r="N316" i="15"/>
  <c r="M316" i="15"/>
  <c r="L316" i="15"/>
  <c r="K316" i="15"/>
  <c r="J316" i="15"/>
  <c r="I316" i="15"/>
  <c r="H316" i="15"/>
  <c r="G316" i="15"/>
  <c r="F316" i="15"/>
  <c r="E316" i="15"/>
  <c r="C316" i="15"/>
  <c r="B316" i="15"/>
  <c r="T315" i="15"/>
  <c r="S315" i="15"/>
  <c r="R315" i="15"/>
  <c r="Q315" i="15"/>
  <c r="P315" i="15"/>
  <c r="O315" i="15"/>
  <c r="N315" i="15"/>
  <c r="M315" i="15"/>
  <c r="L315" i="15"/>
  <c r="K315" i="15"/>
  <c r="J315" i="15"/>
  <c r="I315" i="15"/>
  <c r="H315" i="15"/>
  <c r="G315" i="15"/>
  <c r="F315" i="15"/>
  <c r="E315" i="15"/>
  <c r="C315" i="15"/>
  <c r="B315" i="15"/>
  <c r="T314" i="15"/>
  <c r="S314" i="15"/>
  <c r="R314" i="15"/>
  <c r="Q314" i="15"/>
  <c r="P314" i="15"/>
  <c r="O314" i="15"/>
  <c r="N314" i="15"/>
  <c r="M314" i="15"/>
  <c r="L314" i="15"/>
  <c r="K314" i="15"/>
  <c r="J314" i="15"/>
  <c r="I314" i="15"/>
  <c r="H314" i="15"/>
  <c r="G314" i="15"/>
  <c r="F314" i="15"/>
  <c r="E314" i="15"/>
  <c r="C314" i="15"/>
  <c r="B314" i="15"/>
  <c r="T313" i="15"/>
  <c r="S313" i="15"/>
  <c r="R313" i="15"/>
  <c r="Q313" i="15"/>
  <c r="P313" i="15"/>
  <c r="O313" i="15"/>
  <c r="N313" i="15"/>
  <c r="M313" i="15"/>
  <c r="L313" i="15"/>
  <c r="K313" i="15"/>
  <c r="J313" i="15"/>
  <c r="I313" i="15"/>
  <c r="H313" i="15"/>
  <c r="G313" i="15"/>
  <c r="F313" i="15"/>
  <c r="E313" i="15"/>
  <c r="C313" i="15"/>
  <c r="B313" i="15"/>
  <c r="T312" i="15"/>
  <c r="S312" i="15"/>
  <c r="R312" i="15"/>
  <c r="Q312" i="15"/>
  <c r="P312" i="15"/>
  <c r="O312" i="15"/>
  <c r="N312" i="15"/>
  <c r="M312" i="15"/>
  <c r="L312" i="15"/>
  <c r="K312" i="15"/>
  <c r="J312" i="15"/>
  <c r="I312" i="15"/>
  <c r="H312" i="15"/>
  <c r="G312" i="15"/>
  <c r="F312" i="15"/>
  <c r="E312" i="15"/>
  <c r="C312" i="15"/>
  <c r="B312" i="15"/>
  <c r="T311" i="15"/>
  <c r="S311" i="15"/>
  <c r="R311" i="15"/>
  <c r="Q311" i="15"/>
  <c r="P311" i="15"/>
  <c r="O311" i="15"/>
  <c r="N311" i="15"/>
  <c r="M311" i="15"/>
  <c r="L311" i="15"/>
  <c r="K311" i="15"/>
  <c r="J311" i="15"/>
  <c r="I311" i="15"/>
  <c r="H311" i="15"/>
  <c r="G311" i="15"/>
  <c r="F311" i="15"/>
  <c r="E311" i="15"/>
  <c r="C311" i="15"/>
  <c r="B311" i="15"/>
  <c r="T310" i="15"/>
  <c r="S310" i="15"/>
  <c r="R310" i="15"/>
  <c r="Q310" i="15"/>
  <c r="P310" i="15"/>
  <c r="O310" i="15"/>
  <c r="N310" i="15"/>
  <c r="M310" i="15"/>
  <c r="L310" i="15"/>
  <c r="K310" i="15"/>
  <c r="J310" i="15"/>
  <c r="I310" i="15"/>
  <c r="H310" i="15"/>
  <c r="G310" i="15"/>
  <c r="F310" i="15"/>
  <c r="E310" i="15"/>
  <c r="C310" i="15"/>
  <c r="B310" i="15"/>
  <c r="T309" i="15"/>
  <c r="S309" i="15"/>
  <c r="R309" i="15"/>
  <c r="Q309" i="15"/>
  <c r="P309" i="15"/>
  <c r="O309" i="15"/>
  <c r="N309" i="15"/>
  <c r="M309" i="15"/>
  <c r="L309" i="15"/>
  <c r="K309" i="15"/>
  <c r="J309" i="15"/>
  <c r="I309" i="15"/>
  <c r="H309" i="15"/>
  <c r="G309" i="15"/>
  <c r="F309" i="15"/>
  <c r="E309" i="15"/>
  <c r="C309" i="15"/>
  <c r="B309" i="15"/>
  <c r="T308" i="15"/>
  <c r="S308" i="15"/>
  <c r="R308" i="15"/>
  <c r="Q308" i="15"/>
  <c r="P308" i="15"/>
  <c r="O308" i="15"/>
  <c r="N308" i="15"/>
  <c r="M308" i="15"/>
  <c r="L308" i="15"/>
  <c r="K308" i="15"/>
  <c r="J308" i="15"/>
  <c r="I308" i="15"/>
  <c r="H308" i="15"/>
  <c r="G308" i="15"/>
  <c r="F308" i="15"/>
  <c r="E308" i="15"/>
  <c r="C308" i="15"/>
  <c r="B308" i="15"/>
  <c r="T307" i="15"/>
  <c r="S307" i="15"/>
  <c r="R307" i="15"/>
  <c r="Q307" i="15"/>
  <c r="P307" i="15"/>
  <c r="O307" i="15"/>
  <c r="N307" i="15"/>
  <c r="M307" i="15"/>
  <c r="L307" i="15"/>
  <c r="K307" i="15"/>
  <c r="J307" i="15"/>
  <c r="I307" i="15"/>
  <c r="H307" i="15"/>
  <c r="G307" i="15"/>
  <c r="F307" i="15"/>
  <c r="E307" i="15"/>
  <c r="C307" i="15"/>
  <c r="B307" i="15"/>
  <c r="T306" i="15"/>
  <c r="S306" i="15"/>
  <c r="R306" i="15"/>
  <c r="Q306" i="15"/>
  <c r="P306" i="15"/>
  <c r="O306" i="15"/>
  <c r="N306" i="15"/>
  <c r="M306" i="15"/>
  <c r="L306" i="15"/>
  <c r="K306" i="15"/>
  <c r="J306" i="15"/>
  <c r="I306" i="15"/>
  <c r="H306" i="15"/>
  <c r="G306" i="15"/>
  <c r="F306" i="15"/>
  <c r="E306" i="15"/>
  <c r="C306" i="15"/>
  <c r="B306" i="15"/>
  <c r="T305" i="15"/>
  <c r="S305" i="15"/>
  <c r="R305" i="15"/>
  <c r="Q305" i="15"/>
  <c r="P305" i="15"/>
  <c r="O305" i="15"/>
  <c r="N305" i="15"/>
  <c r="M305" i="15"/>
  <c r="L305" i="15"/>
  <c r="K305" i="15"/>
  <c r="J305" i="15"/>
  <c r="I305" i="15"/>
  <c r="H305" i="15"/>
  <c r="G305" i="15"/>
  <c r="F305" i="15"/>
  <c r="E305" i="15"/>
  <c r="C305" i="15"/>
  <c r="B305" i="15"/>
  <c r="T304" i="15"/>
  <c r="S304" i="15"/>
  <c r="R304" i="15"/>
  <c r="Q304" i="15"/>
  <c r="P304" i="15"/>
  <c r="O304" i="15"/>
  <c r="N304" i="15"/>
  <c r="M304" i="15"/>
  <c r="L304" i="15"/>
  <c r="K304" i="15"/>
  <c r="J304" i="15"/>
  <c r="I304" i="15"/>
  <c r="H304" i="15"/>
  <c r="G304" i="15"/>
  <c r="F304" i="15"/>
  <c r="E304" i="15"/>
  <c r="C304" i="15"/>
  <c r="B304" i="15"/>
  <c r="T303" i="15"/>
  <c r="S303" i="15"/>
  <c r="R303" i="15"/>
  <c r="Q303" i="15"/>
  <c r="P303" i="15"/>
  <c r="O303" i="15"/>
  <c r="N303" i="15"/>
  <c r="M303" i="15"/>
  <c r="L303" i="15"/>
  <c r="K303" i="15"/>
  <c r="J303" i="15"/>
  <c r="I303" i="15"/>
  <c r="H303" i="15"/>
  <c r="G303" i="15"/>
  <c r="F303" i="15"/>
  <c r="E303" i="15"/>
  <c r="C303" i="15"/>
  <c r="B303" i="15"/>
  <c r="T302" i="15"/>
  <c r="S302" i="15"/>
  <c r="R302" i="15"/>
  <c r="Q302" i="15"/>
  <c r="P302" i="15"/>
  <c r="O302" i="15"/>
  <c r="N302" i="15"/>
  <c r="M302" i="15"/>
  <c r="L302" i="15"/>
  <c r="K302" i="15"/>
  <c r="J302" i="15"/>
  <c r="I302" i="15"/>
  <c r="H302" i="15"/>
  <c r="G302" i="15"/>
  <c r="F302" i="15"/>
  <c r="E302" i="15"/>
  <c r="C302" i="15"/>
  <c r="B302" i="15"/>
  <c r="T301" i="15"/>
  <c r="S301" i="15"/>
  <c r="R301" i="15"/>
  <c r="Q301" i="15"/>
  <c r="P301" i="15"/>
  <c r="O301" i="15"/>
  <c r="N301" i="15"/>
  <c r="M301" i="15"/>
  <c r="L301" i="15"/>
  <c r="K301" i="15"/>
  <c r="J301" i="15"/>
  <c r="I301" i="15"/>
  <c r="H301" i="15"/>
  <c r="G301" i="15"/>
  <c r="F301" i="15"/>
  <c r="E301" i="15"/>
  <c r="C301" i="15"/>
  <c r="B301" i="15"/>
  <c r="T300" i="15"/>
  <c r="S300" i="15"/>
  <c r="R300" i="15"/>
  <c r="Q300" i="15"/>
  <c r="P300" i="15"/>
  <c r="O300" i="15"/>
  <c r="N300" i="15"/>
  <c r="M300" i="15"/>
  <c r="L300" i="15"/>
  <c r="K300" i="15"/>
  <c r="J300" i="15"/>
  <c r="I300" i="15"/>
  <c r="H300" i="15"/>
  <c r="G300" i="15"/>
  <c r="F300" i="15"/>
  <c r="E300" i="15"/>
  <c r="C300" i="15"/>
  <c r="B300" i="15"/>
  <c r="T299" i="15"/>
  <c r="S299" i="15"/>
  <c r="R299" i="15"/>
  <c r="Q299" i="15"/>
  <c r="P299" i="15"/>
  <c r="O299" i="15"/>
  <c r="N299" i="15"/>
  <c r="M299" i="15"/>
  <c r="L299" i="15"/>
  <c r="K299" i="15"/>
  <c r="J299" i="15"/>
  <c r="I299" i="15"/>
  <c r="H299" i="15"/>
  <c r="G299" i="15"/>
  <c r="F299" i="15"/>
  <c r="E299" i="15"/>
  <c r="C299" i="15"/>
  <c r="B299" i="15"/>
  <c r="T298" i="15"/>
  <c r="S298" i="15"/>
  <c r="R298" i="15"/>
  <c r="Q298" i="15"/>
  <c r="P298" i="15"/>
  <c r="O298" i="15"/>
  <c r="N298" i="15"/>
  <c r="M298" i="15"/>
  <c r="L298" i="15"/>
  <c r="K298" i="15"/>
  <c r="J298" i="15"/>
  <c r="I298" i="15"/>
  <c r="H298" i="15"/>
  <c r="G298" i="15"/>
  <c r="F298" i="15"/>
  <c r="E298" i="15"/>
  <c r="C298" i="15"/>
  <c r="B298" i="15"/>
  <c r="T297" i="15"/>
  <c r="S297" i="15"/>
  <c r="R297" i="15"/>
  <c r="Q297" i="15"/>
  <c r="P297" i="15"/>
  <c r="O297" i="15"/>
  <c r="N297" i="15"/>
  <c r="M297" i="15"/>
  <c r="L297" i="15"/>
  <c r="K297" i="15"/>
  <c r="J297" i="15"/>
  <c r="I297" i="15"/>
  <c r="H297" i="15"/>
  <c r="G297" i="15"/>
  <c r="F297" i="15"/>
  <c r="E297" i="15"/>
  <c r="C297" i="15"/>
  <c r="B297" i="15"/>
  <c r="T296" i="15"/>
  <c r="S296" i="15"/>
  <c r="R296" i="15"/>
  <c r="Q296" i="15"/>
  <c r="P296" i="15"/>
  <c r="O296" i="15"/>
  <c r="N296" i="15"/>
  <c r="M296" i="15"/>
  <c r="L296" i="15"/>
  <c r="K296" i="15"/>
  <c r="J296" i="15"/>
  <c r="I296" i="15"/>
  <c r="H296" i="15"/>
  <c r="G296" i="15"/>
  <c r="F296" i="15"/>
  <c r="E296" i="15"/>
  <c r="C296" i="15"/>
  <c r="B296" i="15"/>
  <c r="T295" i="15"/>
  <c r="S295" i="15"/>
  <c r="R295" i="15"/>
  <c r="Q295" i="15"/>
  <c r="P295" i="15"/>
  <c r="O295" i="15"/>
  <c r="N295" i="15"/>
  <c r="M295" i="15"/>
  <c r="L295" i="15"/>
  <c r="K295" i="15"/>
  <c r="J295" i="15"/>
  <c r="I295" i="15"/>
  <c r="H295" i="15"/>
  <c r="G295" i="15"/>
  <c r="F295" i="15"/>
  <c r="E295" i="15"/>
  <c r="C295" i="15"/>
  <c r="B295" i="15"/>
  <c r="T294" i="15"/>
  <c r="S294" i="15"/>
  <c r="R294" i="15"/>
  <c r="Q294" i="15"/>
  <c r="P294" i="15"/>
  <c r="O294" i="15"/>
  <c r="N294" i="15"/>
  <c r="M294" i="15"/>
  <c r="L294" i="15"/>
  <c r="K294" i="15"/>
  <c r="J294" i="15"/>
  <c r="I294" i="15"/>
  <c r="H294" i="15"/>
  <c r="G294" i="15"/>
  <c r="F294" i="15"/>
  <c r="E294" i="15"/>
  <c r="C294" i="15"/>
  <c r="B294" i="15"/>
  <c r="T293" i="15"/>
  <c r="S293" i="15"/>
  <c r="R293" i="15"/>
  <c r="Q293" i="15"/>
  <c r="P293" i="15"/>
  <c r="O293" i="15"/>
  <c r="N293" i="15"/>
  <c r="M293" i="15"/>
  <c r="L293" i="15"/>
  <c r="K293" i="15"/>
  <c r="J293" i="15"/>
  <c r="I293" i="15"/>
  <c r="H293" i="15"/>
  <c r="G293" i="15"/>
  <c r="F293" i="15"/>
  <c r="E293" i="15"/>
  <c r="C293" i="15"/>
  <c r="B293" i="15"/>
  <c r="T292" i="15"/>
  <c r="S292" i="15"/>
  <c r="R292" i="15"/>
  <c r="Q292" i="15"/>
  <c r="P292" i="15"/>
  <c r="O292" i="15"/>
  <c r="N292" i="15"/>
  <c r="M292" i="15"/>
  <c r="L292" i="15"/>
  <c r="K292" i="15"/>
  <c r="J292" i="15"/>
  <c r="I292" i="15"/>
  <c r="H292" i="15"/>
  <c r="G292" i="15"/>
  <c r="F292" i="15"/>
  <c r="E292" i="15"/>
  <c r="C292" i="15"/>
  <c r="B292" i="15"/>
  <c r="T291" i="15"/>
  <c r="S291" i="15"/>
  <c r="R291" i="15"/>
  <c r="Q291" i="15"/>
  <c r="P291" i="15"/>
  <c r="O291" i="15"/>
  <c r="N291" i="15"/>
  <c r="M291" i="15"/>
  <c r="L291" i="15"/>
  <c r="K291" i="15"/>
  <c r="J291" i="15"/>
  <c r="I291" i="15"/>
  <c r="H291" i="15"/>
  <c r="G291" i="15"/>
  <c r="F291" i="15"/>
  <c r="E291" i="15"/>
  <c r="C291" i="15"/>
  <c r="B291" i="15"/>
  <c r="T290" i="15"/>
  <c r="S290" i="15"/>
  <c r="R290" i="15"/>
  <c r="Q290" i="15"/>
  <c r="P290" i="15"/>
  <c r="O290" i="15"/>
  <c r="N290" i="15"/>
  <c r="M290" i="15"/>
  <c r="L290" i="15"/>
  <c r="K290" i="15"/>
  <c r="J290" i="15"/>
  <c r="I290" i="15"/>
  <c r="H290" i="15"/>
  <c r="G290" i="15"/>
  <c r="F290" i="15"/>
  <c r="E290" i="15"/>
  <c r="C290" i="15"/>
  <c r="B290" i="15"/>
  <c r="T289" i="15"/>
  <c r="S289" i="15"/>
  <c r="R289" i="15"/>
  <c r="Q289" i="15"/>
  <c r="P289" i="15"/>
  <c r="O289" i="15"/>
  <c r="N289" i="15"/>
  <c r="M289" i="15"/>
  <c r="L289" i="15"/>
  <c r="K289" i="15"/>
  <c r="J289" i="15"/>
  <c r="I289" i="15"/>
  <c r="H289" i="15"/>
  <c r="G289" i="15"/>
  <c r="F289" i="15"/>
  <c r="E289" i="15"/>
  <c r="C289" i="15"/>
  <c r="B289" i="15"/>
  <c r="T288" i="15"/>
  <c r="S288" i="15"/>
  <c r="R288" i="15"/>
  <c r="Q288" i="15"/>
  <c r="P288" i="15"/>
  <c r="O288" i="15"/>
  <c r="N288" i="15"/>
  <c r="M288" i="15"/>
  <c r="L288" i="15"/>
  <c r="K288" i="15"/>
  <c r="J288" i="15"/>
  <c r="I288" i="15"/>
  <c r="H288" i="15"/>
  <c r="G288" i="15"/>
  <c r="F288" i="15"/>
  <c r="E288" i="15"/>
  <c r="C288" i="15"/>
  <c r="B288" i="15"/>
  <c r="T287" i="15"/>
  <c r="S287" i="15"/>
  <c r="R287" i="15"/>
  <c r="Q287" i="15"/>
  <c r="P287" i="15"/>
  <c r="O287" i="15"/>
  <c r="N287" i="15"/>
  <c r="M287" i="15"/>
  <c r="L287" i="15"/>
  <c r="K287" i="15"/>
  <c r="J287" i="15"/>
  <c r="I287" i="15"/>
  <c r="H287" i="15"/>
  <c r="G287" i="15"/>
  <c r="F287" i="15"/>
  <c r="E287" i="15"/>
  <c r="C287" i="15"/>
  <c r="B287" i="15"/>
  <c r="T286" i="15"/>
  <c r="S286" i="15"/>
  <c r="R286" i="15"/>
  <c r="Q286" i="15"/>
  <c r="P286" i="15"/>
  <c r="O286" i="15"/>
  <c r="N286" i="15"/>
  <c r="M286" i="15"/>
  <c r="L286" i="15"/>
  <c r="K286" i="15"/>
  <c r="J286" i="15"/>
  <c r="I286" i="15"/>
  <c r="H286" i="15"/>
  <c r="G286" i="15"/>
  <c r="F286" i="15"/>
  <c r="E286" i="15"/>
  <c r="C286" i="15"/>
  <c r="B286" i="15"/>
  <c r="T285" i="15"/>
  <c r="S285" i="15"/>
  <c r="R285" i="15"/>
  <c r="Q285" i="15"/>
  <c r="P285" i="15"/>
  <c r="O285" i="15"/>
  <c r="N285" i="15"/>
  <c r="M285" i="15"/>
  <c r="L285" i="15"/>
  <c r="K285" i="15"/>
  <c r="J285" i="15"/>
  <c r="I285" i="15"/>
  <c r="H285" i="15"/>
  <c r="G285" i="15"/>
  <c r="F285" i="15"/>
  <c r="E285" i="15"/>
  <c r="C285" i="15"/>
  <c r="B285" i="15"/>
  <c r="T284" i="15"/>
  <c r="S284" i="15"/>
  <c r="R284" i="15"/>
  <c r="Q284" i="15"/>
  <c r="P284" i="15"/>
  <c r="O284" i="15"/>
  <c r="N284" i="15"/>
  <c r="M284" i="15"/>
  <c r="L284" i="15"/>
  <c r="K284" i="15"/>
  <c r="J284" i="15"/>
  <c r="I284" i="15"/>
  <c r="H284" i="15"/>
  <c r="G284" i="15"/>
  <c r="F284" i="15"/>
  <c r="E284" i="15"/>
  <c r="C284" i="15"/>
  <c r="B284" i="15"/>
  <c r="T283" i="15"/>
  <c r="S283" i="15"/>
  <c r="R283" i="15"/>
  <c r="Q283" i="15"/>
  <c r="P283" i="15"/>
  <c r="O283" i="15"/>
  <c r="N283" i="15"/>
  <c r="M283" i="15"/>
  <c r="L283" i="15"/>
  <c r="K283" i="15"/>
  <c r="J283" i="15"/>
  <c r="I283" i="15"/>
  <c r="H283" i="15"/>
  <c r="G283" i="15"/>
  <c r="F283" i="15"/>
  <c r="E283" i="15"/>
  <c r="C283" i="15"/>
  <c r="B283" i="15"/>
  <c r="T282" i="15"/>
  <c r="S282" i="15"/>
  <c r="R282" i="15"/>
  <c r="Q282" i="15"/>
  <c r="P282" i="15"/>
  <c r="O282" i="15"/>
  <c r="N282" i="15"/>
  <c r="M282" i="15"/>
  <c r="L282" i="15"/>
  <c r="K282" i="15"/>
  <c r="J282" i="15"/>
  <c r="I282" i="15"/>
  <c r="H282" i="15"/>
  <c r="G282" i="15"/>
  <c r="F282" i="15"/>
  <c r="E282" i="15"/>
  <c r="C282" i="15"/>
  <c r="B282" i="15"/>
  <c r="T281" i="15"/>
  <c r="S281" i="15"/>
  <c r="R281" i="15"/>
  <c r="Q281" i="15"/>
  <c r="P281" i="15"/>
  <c r="O281" i="15"/>
  <c r="N281" i="15"/>
  <c r="M281" i="15"/>
  <c r="L281" i="15"/>
  <c r="K281" i="15"/>
  <c r="J281" i="15"/>
  <c r="I281" i="15"/>
  <c r="H281" i="15"/>
  <c r="G281" i="15"/>
  <c r="F281" i="15"/>
  <c r="E281" i="15"/>
  <c r="C281" i="15"/>
  <c r="B281" i="15"/>
  <c r="T280" i="15"/>
  <c r="S280" i="15"/>
  <c r="R280" i="15"/>
  <c r="Q280" i="15"/>
  <c r="P280" i="15"/>
  <c r="O280" i="15"/>
  <c r="N280" i="15"/>
  <c r="M280" i="15"/>
  <c r="L280" i="15"/>
  <c r="K280" i="15"/>
  <c r="J280" i="15"/>
  <c r="I280" i="15"/>
  <c r="H280" i="15"/>
  <c r="G280" i="15"/>
  <c r="F280" i="15"/>
  <c r="E280" i="15"/>
  <c r="C280" i="15"/>
  <c r="B280" i="15"/>
  <c r="T279" i="15"/>
  <c r="S279" i="15"/>
  <c r="R279" i="15"/>
  <c r="Q279" i="15"/>
  <c r="P279" i="15"/>
  <c r="O279" i="15"/>
  <c r="N279" i="15"/>
  <c r="M279" i="15"/>
  <c r="L279" i="15"/>
  <c r="K279" i="15"/>
  <c r="J279" i="15"/>
  <c r="I279" i="15"/>
  <c r="H279" i="15"/>
  <c r="G279" i="15"/>
  <c r="F279" i="15"/>
  <c r="E279" i="15"/>
  <c r="C279" i="15"/>
  <c r="B279" i="15"/>
  <c r="T278" i="15"/>
  <c r="S278" i="15"/>
  <c r="R278" i="15"/>
  <c r="Q278" i="15"/>
  <c r="P278" i="15"/>
  <c r="O278" i="15"/>
  <c r="N278" i="15"/>
  <c r="M278" i="15"/>
  <c r="L278" i="15"/>
  <c r="K278" i="15"/>
  <c r="J278" i="15"/>
  <c r="I278" i="15"/>
  <c r="H278" i="15"/>
  <c r="G278" i="15"/>
  <c r="F278" i="15"/>
  <c r="E278" i="15"/>
  <c r="C278" i="15"/>
  <c r="B278" i="15"/>
  <c r="T277" i="15"/>
  <c r="S277" i="15"/>
  <c r="R277" i="15"/>
  <c r="Q277" i="15"/>
  <c r="P277" i="15"/>
  <c r="O277" i="15"/>
  <c r="N277" i="15"/>
  <c r="M277" i="15"/>
  <c r="L277" i="15"/>
  <c r="K277" i="15"/>
  <c r="J277" i="15"/>
  <c r="I277" i="15"/>
  <c r="H277" i="15"/>
  <c r="G277" i="15"/>
  <c r="F277" i="15"/>
  <c r="E277" i="15"/>
  <c r="C277" i="15"/>
  <c r="B277" i="15"/>
  <c r="T276" i="15"/>
  <c r="S276" i="15"/>
  <c r="R276" i="15"/>
  <c r="Q276" i="15"/>
  <c r="P276" i="15"/>
  <c r="O276" i="15"/>
  <c r="N276" i="15"/>
  <c r="M276" i="15"/>
  <c r="L276" i="15"/>
  <c r="K276" i="15"/>
  <c r="J276" i="15"/>
  <c r="I276" i="15"/>
  <c r="H276" i="15"/>
  <c r="G276" i="15"/>
  <c r="F276" i="15"/>
  <c r="E276" i="15"/>
  <c r="C276" i="15"/>
  <c r="B276" i="15"/>
  <c r="T275" i="15"/>
  <c r="S275" i="15"/>
  <c r="R275" i="15"/>
  <c r="Q275" i="15"/>
  <c r="P275" i="15"/>
  <c r="O275" i="15"/>
  <c r="N275" i="15"/>
  <c r="M275" i="15"/>
  <c r="L275" i="15"/>
  <c r="K275" i="15"/>
  <c r="J275" i="15"/>
  <c r="I275" i="15"/>
  <c r="H275" i="15"/>
  <c r="G275" i="15"/>
  <c r="F275" i="15"/>
  <c r="E275" i="15"/>
  <c r="C275" i="15"/>
  <c r="B275" i="15"/>
  <c r="T274" i="15"/>
  <c r="S274" i="15"/>
  <c r="R274" i="15"/>
  <c r="Q274" i="15"/>
  <c r="P274" i="15"/>
  <c r="O274" i="15"/>
  <c r="N274" i="15"/>
  <c r="M274" i="15"/>
  <c r="L274" i="15"/>
  <c r="K274" i="15"/>
  <c r="J274" i="15"/>
  <c r="I274" i="15"/>
  <c r="H274" i="15"/>
  <c r="G274" i="15"/>
  <c r="F274" i="15"/>
  <c r="E274" i="15"/>
  <c r="C274" i="15"/>
  <c r="B274" i="15"/>
  <c r="T273" i="15"/>
  <c r="S273" i="15"/>
  <c r="R273" i="15"/>
  <c r="Q273" i="15"/>
  <c r="P273" i="15"/>
  <c r="O273" i="15"/>
  <c r="N273" i="15"/>
  <c r="M273" i="15"/>
  <c r="L273" i="15"/>
  <c r="K273" i="15"/>
  <c r="J273" i="15"/>
  <c r="I273" i="15"/>
  <c r="H273" i="15"/>
  <c r="G273" i="15"/>
  <c r="F273" i="15"/>
  <c r="E273" i="15"/>
  <c r="C273" i="15"/>
  <c r="B273" i="15"/>
  <c r="T272" i="15"/>
  <c r="S272" i="15"/>
  <c r="R272" i="15"/>
  <c r="Q272" i="15"/>
  <c r="P272" i="15"/>
  <c r="O272" i="15"/>
  <c r="N272" i="15"/>
  <c r="M272" i="15"/>
  <c r="L272" i="15"/>
  <c r="K272" i="15"/>
  <c r="J272" i="15"/>
  <c r="I272" i="15"/>
  <c r="H272" i="15"/>
  <c r="G272" i="15"/>
  <c r="F272" i="15"/>
  <c r="E272" i="15"/>
  <c r="C272" i="15"/>
  <c r="B272" i="15"/>
  <c r="T271" i="15"/>
  <c r="S271" i="15"/>
  <c r="R271" i="15"/>
  <c r="Q271" i="15"/>
  <c r="P271" i="15"/>
  <c r="O271" i="15"/>
  <c r="N271" i="15"/>
  <c r="M271" i="15"/>
  <c r="L271" i="15"/>
  <c r="K271" i="15"/>
  <c r="J271" i="15"/>
  <c r="I271" i="15"/>
  <c r="H271" i="15"/>
  <c r="G271" i="15"/>
  <c r="F271" i="15"/>
  <c r="E271" i="15"/>
  <c r="C271" i="15"/>
  <c r="B271" i="15"/>
  <c r="T270" i="15"/>
  <c r="S270" i="15"/>
  <c r="R270" i="15"/>
  <c r="Q270" i="15"/>
  <c r="P270" i="15"/>
  <c r="O270" i="15"/>
  <c r="N270" i="15"/>
  <c r="M270" i="15"/>
  <c r="L270" i="15"/>
  <c r="K270" i="15"/>
  <c r="J270" i="15"/>
  <c r="I270" i="15"/>
  <c r="H270" i="15"/>
  <c r="G270" i="15"/>
  <c r="F270" i="15"/>
  <c r="E270" i="15"/>
  <c r="C270" i="15"/>
  <c r="B270" i="15"/>
  <c r="T269" i="15"/>
  <c r="S269" i="15"/>
  <c r="R269" i="15"/>
  <c r="Q269" i="15"/>
  <c r="P269" i="15"/>
  <c r="O269" i="15"/>
  <c r="N269" i="15"/>
  <c r="M269" i="15"/>
  <c r="L269" i="15"/>
  <c r="K269" i="15"/>
  <c r="J269" i="15"/>
  <c r="I269" i="15"/>
  <c r="H269" i="15"/>
  <c r="G269" i="15"/>
  <c r="F269" i="15"/>
  <c r="E269" i="15"/>
  <c r="C269" i="15"/>
  <c r="B269" i="15"/>
  <c r="T268" i="15"/>
  <c r="S268" i="15"/>
  <c r="R268" i="15"/>
  <c r="Q268" i="15"/>
  <c r="P268" i="15"/>
  <c r="O268" i="15"/>
  <c r="N268" i="15"/>
  <c r="M268" i="15"/>
  <c r="L268" i="15"/>
  <c r="K268" i="15"/>
  <c r="J268" i="15"/>
  <c r="I268" i="15"/>
  <c r="H268" i="15"/>
  <c r="G268" i="15"/>
  <c r="F268" i="15"/>
  <c r="E268" i="15"/>
  <c r="C268" i="15"/>
  <c r="B268" i="15"/>
  <c r="T267" i="15"/>
  <c r="S267" i="15"/>
  <c r="R267" i="15"/>
  <c r="Q267" i="15"/>
  <c r="P267" i="15"/>
  <c r="O267" i="15"/>
  <c r="N267" i="15"/>
  <c r="M267" i="15"/>
  <c r="L267" i="15"/>
  <c r="K267" i="15"/>
  <c r="J267" i="15"/>
  <c r="I267" i="15"/>
  <c r="H267" i="15"/>
  <c r="G267" i="15"/>
  <c r="F267" i="15"/>
  <c r="E267" i="15"/>
  <c r="C267" i="15"/>
  <c r="B267" i="15"/>
  <c r="T266" i="15"/>
  <c r="S266" i="15"/>
  <c r="R266" i="15"/>
  <c r="Q266" i="15"/>
  <c r="P266" i="15"/>
  <c r="O266" i="15"/>
  <c r="N266" i="15"/>
  <c r="M266" i="15"/>
  <c r="L266" i="15"/>
  <c r="K266" i="15"/>
  <c r="J266" i="15"/>
  <c r="I266" i="15"/>
  <c r="H266" i="15"/>
  <c r="G266" i="15"/>
  <c r="F266" i="15"/>
  <c r="E266" i="15"/>
  <c r="C266" i="15"/>
  <c r="B266" i="15"/>
  <c r="T265" i="15"/>
  <c r="S265" i="15"/>
  <c r="R265" i="15"/>
  <c r="Q265" i="15"/>
  <c r="P265" i="15"/>
  <c r="O265" i="15"/>
  <c r="N265" i="15"/>
  <c r="M265" i="15"/>
  <c r="L265" i="15"/>
  <c r="K265" i="15"/>
  <c r="J265" i="15"/>
  <c r="I265" i="15"/>
  <c r="H265" i="15"/>
  <c r="G265" i="15"/>
  <c r="F265" i="15"/>
  <c r="E265" i="15"/>
  <c r="C265" i="15"/>
  <c r="B265" i="15"/>
  <c r="T264" i="15"/>
  <c r="S264" i="15"/>
  <c r="R264" i="15"/>
  <c r="Q264" i="15"/>
  <c r="P264" i="15"/>
  <c r="O264" i="15"/>
  <c r="N264" i="15"/>
  <c r="M264" i="15"/>
  <c r="L264" i="15"/>
  <c r="K264" i="15"/>
  <c r="J264" i="15"/>
  <c r="I264" i="15"/>
  <c r="H264" i="15"/>
  <c r="G264" i="15"/>
  <c r="F264" i="15"/>
  <c r="E264" i="15"/>
  <c r="C264" i="15"/>
  <c r="B264" i="15"/>
  <c r="T263" i="15"/>
  <c r="S263" i="15"/>
  <c r="R263" i="15"/>
  <c r="Q263" i="15"/>
  <c r="P263" i="15"/>
  <c r="O263" i="15"/>
  <c r="N263" i="15"/>
  <c r="M263" i="15"/>
  <c r="L263" i="15"/>
  <c r="K263" i="15"/>
  <c r="J263" i="15"/>
  <c r="I263" i="15"/>
  <c r="H263" i="15"/>
  <c r="G263" i="15"/>
  <c r="F263" i="15"/>
  <c r="E263" i="15"/>
  <c r="C263" i="15"/>
  <c r="B263" i="15"/>
  <c r="T262" i="15"/>
  <c r="S262" i="15"/>
  <c r="R262" i="15"/>
  <c r="Q262" i="15"/>
  <c r="P262" i="15"/>
  <c r="O262" i="15"/>
  <c r="N262" i="15"/>
  <c r="M262" i="15"/>
  <c r="L262" i="15"/>
  <c r="K262" i="15"/>
  <c r="J262" i="15"/>
  <c r="I262" i="15"/>
  <c r="H262" i="15"/>
  <c r="G262" i="15"/>
  <c r="F262" i="15"/>
  <c r="E262" i="15"/>
  <c r="C262" i="15"/>
  <c r="B262" i="15"/>
  <c r="T261" i="15"/>
  <c r="S261" i="15"/>
  <c r="R261" i="15"/>
  <c r="Q261" i="15"/>
  <c r="P261" i="15"/>
  <c r="O261" i="15"/>
  <c r="N261" i="15"/>
  <c r="M261" i="15"/>
  <c r="L261" i="15"/>
  <c r="K261" i="15"/>
  <c r="J261" i="15"/>
  <c r="I261" i="15"/>
  <c r="H261" i="15"/>
  <c r="G261" i="15"/>
  <c r="F261" i="15"/>
  <c r="E261" i="15"/>
  <c r="C261" i="15"/>
  <c r="B261" i="15"/>
  <c r="T260" i="15"/>
  <c r="S260" i="15"/>
  <c r="R260" i="15"/>
  <c r="Q260" i="15"/>
  <c r="P260" i="15"/>
  <c r="O260" i="15"/>
  <c r="N260" i="15"/>
  <c r="M260" i="15"/>
  <c r="L260" i="15"/>
  <c r="K260" i="15"/>
  <c r="J260" i="15"/>
  <c r="I260" i="15"/>
  <c r="H260" i="15"/>
  <c r="G260" i="15"/>
  <c r="F260" i="15"/>
  <c r="E260" i="15"/>
  <c r="C260" i="15"/>
  <c r="B260" i="15"/>
  <c r="T259" i="15"/>
  <c r="S259" i="15"/>
  <c r="R259" i="15"/>
  <c r="Q259" i="15"/>
  <c r="P259" i="15"/>
  <c r="O259" i="15"/>
  <c r="N259" i="15"/>
  <c r="M259" i="15"/>
  <c r="L259" i="15"/>
  <c r="K259" i="15"/>
  <c r="J259" i="15"/>
  <c r="I259" i="15"/>
  <c r="H259" i="15"/>
  <c r="G259" i="15"/>
  <c r="F259" i="15"/>
  <c r="E259" i="15"/>
  <c r="C259" i="15"/>
  <c r="B259" i="15"/>
  <c r="T258" i="15"/>
  <c r="S258" i="15"/>
  <c r="R258" i="15"/>
  <c r="Q258" i="15"/>
  <c r="P258" i="15"/>
  <c r="O258" i="15"/>
  <c r="N258" i="15"/>
  <c r="M258" i="15"/>
  <c r="L258" i="15"/>
  <c r="K258" i="15"/>
  <c r="J258" i="15"/>
  <c r="I258" i="15"/>
  <c r="H258" i="15"/>
  <c r="G258" i="15"/>
  <c r="F258" i="15"/>
  <c r="E258" i="15"/>
  <c r="C258" i="15"/>
  <c r="B258" i="15"/>
  <c r="T257" i="15"/>
  <c r="S257" i="15"/>
  <c r="R257" i="15"/>
  <c r="Q257" i="15"/>
  <c r="P257" i="15"/>
  <c r="O257" i="15"/>
  <c r="N257" i="15"/>
  <c r="M257" i="15"/>
  <c r="L257" i="15"/>
  <c r="K257" i="15"/>
  <c r="J257" i="15"/>
  <c r="I257" i="15"/>
  <c r="H257" i="15"/>
  <c r="G257" i="15"/>
  <c r="F257" i="15"/>
  <c r="E257" i="15"/>
  <c r="C257" i="15"/>
  <c r="B257" i="15"/>
  <c r="T256" i="15"/>
  <c r="S256" i="15"/>
  <c r="R256" i="15"/>
  <c r="Q256" i="15"/>
  <c r="P256" i="15"/>
  <c r="O256" i="15"/>
  <c r="N256" i="15"/>
  <c r="M256" i="15"/>
  <c r="L256" i="15"/>
  <c r="K256" i="15"/>
  <c r="J256" i="15"/>
  <c r="I256" i="15"/>
  <c r="H256" i="15"/>
  <c r="G256" i="15"/>
  <c r="F256" i="15"/>
  <c r="E256" i="15"/>
  <c r="C256" i="15"/>
  <c r="B256" i="15"/>
  <c r="T255" i="15"/>
  <c r="S255" i="15"/>
  <c r="R255" i="15"/>
  <c r="Q255" i="15"/>
  <c r="P255" i="15"/>
  <c r="O255" i="15"/>
  <c r="N255" i="15"/>
  <c r="M255" i="15"/>
  <c r="L255" i="15"/>
  <c r="K255" i="15"/>
  <c r="J255" i="15"/>
  <c r="I255" i="15"/>
  <c r="H255" i="15"/>
  <c r="G255" i="15"/>
  <c r="F255" i="15"/>
  <c r="E255" i="15"/>
  <c r="C255" i="15"/>
  <c r="B255" i="15"/>
  <c r="T254" i="15"/>
  <c r="S254" i="15"/>
  <c r="R254" i="15"/>
  <c r="Q254" i="15"/>
  <c r="P254" i="15"/>
  <c r="O254" i="15"/>
  <c r="N254" i="15"/>
  <c r="M254" i="15"/>
  <c r="L254" i="15"/>
  <c r="K254" i="15"/>
  <c r="J254" i="15"/>
  <c r="I254" i="15"/>
  <c r="H254" i="15"/>
  <c r="G254" i="15"/>
  <c r="F254" i="15"/>
  <c r="E254" i="15"/>
  <c r="C254" i="15"/>
  <c r="B254" i="15"/>
  <c r="T253" i="15"/>
  <c r="S253" i="15"/>
  <c r="R253" i="15"/>
  <c r="Q253" i="15"/>
  <c r="P253" i="15"/>
  <c r="O253" i="15"/>
  <c r="N253" i="15"/>
  <c r="M253" i="15"/>
  <c r="L253" i="15"/>
  <c r="K253" i="15"/>
  <c r="J253" i="15"/>
  <c r="I253" i="15"/>
  <c r="H253" i="15"/>
  <c r="G253" i="15"/>
  <c r="F253" i="15"/>
  <c r="E253" i="15"/>
  <c r="C253" i="15"/>
  <c r="B253" i="15"/>
  <c r="T252" i="15"/>
  <c r="S252" i="15"/>
  <c r="R252" i="15"/>
  <c r="Q252" i="15"/>
  <c r="P252" i="15"/>
  <c r="O252" i="15"/>
  <c r="N252" i="15"/>
  <c r="M252" i="15"/>
  <c r="L252" i="15"/>
  <c r="K252" i="15"/>
  <c r="J252" i="15"/>
  <c r="I252" i="15"/>
  <c r="H252" i="15"/>
  <c r="G252" i="15"/>
  <c r="F252" i="15"/>
  <c r="E252" i="15"/>
  <c r="C252" i="15"/>
  <c r="B252" i="15"/>
  <c r="T251" i="15"/>
  <c r="S251" i="15"/>
  <c r="R251" i="15"/>
  <c r="Q251" i="15"/>
  <c r="P251" i="15"/>
  <c r="O251" i="15"/>
  <c r="N251" i="15"/>
  <c r="M251" i="15"/>
  <c r="L251" i="15"/>
  <c r="K251" i="15"/>
  <c r="J251" i="15"/>
  <c r="I251" i="15"/>
  <c r="H251" i="15"/>
  <c r="G251" i="15"/>
  <c r="F251" i="15"/>
  <c r="E251" i="15"/>
  <c r="C251" i="15"/>
  <c r="B251" i="15"/>
  <c r="T250" i="15"/>
  <c r="S250" i="15"/>
  <c r="R250" i="15"/>
  <c r="Q250" i="15"/>
  <c r="P250" i="15"/>
  <c r="O250" i="15"/>
  <c r="N250" i="15"/>
  <c r="M250" i="15"/>
  <c r="L250" i="15"/>
  <c r="K250" i="15"/>
  <c r="J250" i="15"/>
  <c r="I250" i="15"/>
  <c r="H250" i="15"/>
  <c r="G250" i="15"/>
  <c r="F250" i="15"/>
  <c r="E250" i="15"/>
  <c r="C250" i="15"/>
  <c r="B250" i="15"/>
  <c r="T249" i="15"/>
  <c r="S249" i="15"/>
  <c r="R249" i="15"/>
  <c r="Q249" i="15"/>
  <c r="P249" i="15"/>
  <c r="O249" i="15"/>
  <c r="N249" i="15"/>
  <c r="M249" i="15"/>
  <c r="L249" i="15"/>
  <c r="K249" i="15"/>
  <c r="J249" i="15"/>
  <c r="I249" i="15"/>
  <c r="H249" i="15"/>
  <c r="G249" i="15"/>
  <c r="F249" i="15"/>
  <c r="E249" i="15"/>
  <c r="C249" i="15"/>
  <c r="B249" i="15"/>
  <c r="T248" i="15"/>
  <c r="S248" i="15"/>
  <c r="R248" i="15"/>
  <c r="Q248" i="15"/>
  <c r="P248" i="15"/>
  <c r="O248" i="15"/>
  <c r="N248" i="15"/>
  <c r="M248" i="15"/>
  <c r="L248" i="15"/>
  <c r="K248" i="15"/>
  <c r="J248" i="15"/>
  <c r="I248" i="15"/>
  <c r="H248" i="15"/>
  <c r="G248" i="15"/>
  <c r="F248" i="15"/>
  <c r="E248" i="15"/>
  <c r="C248" i="15"/>
  <c r="B248" i="15"/>
  <c r="T247" i="15"/>
  <c r="S247" i="15"/>
  <c r="R247" i="15"/>
  <c r="Q247" i="15"/>
  <c r="P247" i="15"/>
  <c r="O247" i="15"/>
  <c r="N247" i="15"/>
  <c r="M247" i="15"/>
  <c r="L247" i="15"/>
  <c r="K247" i="15"/>
  <c r="J247" i="15"/>
  <c r="I247" i="15"/>
  <c r="H247" i="15"/>
  <c r="G247" i="15"/>
  <c r="F247" i="15"/>
  <c r="E247" i="15"/>
  <c r="C247" i="15"/>
  <c r="B247" i="15"/>
  <c r="T246" i="15"/>
  <c r="S246" i="15"/>
  <c r="R246" i="15"/>
  <c r="Q246" i="15"/>
  <c r="P246" i="15"/>
  <c r="O246" i="15"/>
  <c r="N246" i="15"/>
  <c r="M246" i="15"/>
  <c r="L246" i="15"/>
  <c r="K246" i="15"/>
  <c r="J246" i="15"/>
  <c r="I246" i="15"/>
  <c r="H246" i="15"/>
  <c r="G246" i="15"/>
  <c r="F246" i="15"/>
  <c r="E246" i="15"/>
  <c r="C246" i="15"/>
  <c r="B246" i="15"/>
  <c r="T245" i="15"/>
  <c r="S245" i="15"/>
  <c r="R245" i="15"/>
  <c r="Q245" i="15"/>
  <c r="P245" i="15"/>
  <c r="O245" i="15"/>
  <c r="N245" i="15"/>
  <c r="M245" i="15"/>
  <c r="L245" i="15"/>
  <c r="K245" i="15"/>
  <c r="J245" i="15"/>
  <c r="I245" i="15"/>
  <c r="H245" i="15"/>
  <c r="G245" i="15"/>
  <c r="F245" i="15"/>
  <c r="E245" i="15"/>
  <c r="C245" i="15"/>
  <c r="B245" i="15"/>
  <c r="T244" i="15"/>
  <c r="S244" i="15"/>
  <c r="R244" i="15"/>
  <c r="Q244" i="15"/>
  <c r="P244" i="15"/>
  <c r="O244" i="15"/>
  <c r="N244" i="15"/>
  <c r="M244" i="15"/>
  <c r="L244" i="15"/>
  <c r="K244" i="15"/>
  <c r="J244" i="15"/>
  <c r="I244" i="15"/>
  <c r="H244" i="15"/>
  <c r="G244" i="15"/>
  <c r="F244" i="15"/>
  <c r="E244" i="15"/>
  <c r="C244" i="15"/>
  <c r="B244" i="15"/>
  <c r="T243" i="15"/>
  <c r="S243" i="15"/>
  <c r="R243" i="15"/>
  <c r="Q243" i="15"/>
  <c r="P243" i="15"/>
  <c r="O243" i="15"/>
  <c r="N243" i="15"/>
  <c r="M243" i="15"/>
  <c r="L243" i="15"/>
  <c r="K243" i="15"/>
  <c r="J243" i="15"/>
  <c r="I243" i="15"/>
  <c r="H243" i="15"/>
  <c r="G243" i="15"/>
  <c r="F243" i="15"/>
  <c r="E243" i="15"/>
  <c r="C243" i="15"/>
  <c r="B243" i="15"/>
  <c r="T242" i="15"/>
  <c r="S242" i="15"/>
  <c r="R242" i="15"/>
  <c r="Q242" i="15"/>
  <c r="P242" i="15"/>
  <c r="O242" i="15"/>
  <c r="N242" i="15"/>
  <c r="M242" i="15"/>
  <c r="L242" i="15"/>
  <c r="K242" i="15"/>
  <c r="J242" i="15"/>
  <c r="I242" i="15"/>
  <c r="H242" i="15"/>
  <c r="G242" i="15"/>
  <c r="F242" i="15"/>
  <c r="E242" i="15"/>
  <c r="C242" i="15"/>
  <c r="B242" i="15"/>
  <c r="T241" i="15"/>
  <c r="S241" i="15"/>
  <c r="R241" i="15"/>
  <c r="Q241" i="15"/>
  <c r="P241" i="15"/>
  <c r="O241" i="15"/>
  <c r="N241" i="15"/>
  <c r="M241" i="15"/>
  <c r="L241" i="15"/>
  <c r="K241" i="15"/>
  <c r="J241" i="15"/>
  <c r="I241" i="15"/>
  <c r="H241" i="15"/>
  <c r="G241" i="15"/>
  <c r="F241" i="15"/>
  <c r="E241" i="15"/>
  <c r="C241" i="15"/>
  <c r="B241" i="15"/>
  <c r="T240" i="15"/>
  <c r="S240" i="15"/>
  <c r="R240" i="15"/>
  <c r="Q240" i="15"/>
  <c r="P240" i="15"/>
  <c r="O240" i="15"/>
  <c r="N240" i="15"/>
  <c r="M240" i="15"/>
  <c r="L240" i="15"/>
  <c r="K240" i="15"/>
  <c r="J240" i="15"/>
  <c r="I240" i="15"/>
  <c r="H240" i="15"/>
  <c r="G240" i="15"/>
  <c r="F240" i="15"/>
  <c r="E240" i="15"/>
  <c r="C240" i="15"/>
  <c r="B240" i="15"/>
  <c r="T239" i="15"/>
  <c r="S239" i="15"/>
  <c r="R239" i="15"/>
  <c r="Q239" i="15"/>
  <c r="P239" i="15"/>
  <c r="O239" i="15"/>
  <c r="N239" i="15"/>
  <c r="M239" i="15"/>
  <c r="L239" i="15"/>
  <c r="K239" i="15"/>
  <c r="J239" i="15"/>
  <c r="I239" i="15"/>
  <c r="H239" i="15"/>
  <c r="G239" i="15"/>
  <c r="F239" i="15"/>
  <c r="E239" i="15"/>
  <c r="C239" i="15"/>
  <c r="B239" i="15"/>
  <c r="T238" i="15"/>
  <c r="S238" i="15"/>
  <c r="R238" i="15"/>
  <c r="Q238" i="15"/>
  <c r="P238" i="15"/>
  <c r="O238" i="15"/>
  <c r="N238" i="15"/>
  <c r="M238" i="15"/>
  <c r="L238" i="15"/>
  <c r="K238" i="15"/>
  <c r="J238" i="15"/>
  <c r="I238" i="15"/>
  <c r="H238" i="15"/>
  <c r="G238" i="15"/>
  <c r="F238" i="15"/>
  <c r="E238" i="15"/>
  <c r="C238" i="15"/>
  <c r="B238" i="15"/>
  <c r="T237" i="15"/>
  <c r="S237" i="15"/>
  <c r="R237" i="15"/>
  <c r="Q237" i="15"/>
  <c r="P237" i="15"/>
  <c r="O237" i="15"/>
  <c r="N237" i="15"/>
  <c r="M237" i="15"/>
  <c r="L237" i="15"/>
  <c r="K237" i="15"/>
  <c r="J237" i="15"/>
  <c r="I237" i="15"/>
  <c r="H237" i="15"/>
  <c r="G237" i="15"/>
  <c r="F237" i="15"/>
  <c r="E237" i="15"/>
  <c r="C237" i="15"/>
  <c r="B237" i="15"/>
  <c r="T236" i="15"/>
  <c r="S236" i="15"/>
  <c r="R236" i="15"/>
  <c r="Q236" i="15"/>
  <c r="P236" i="15"/>
  <c r="O236" i="15"/>
  <c r="N236" i="15"/>
  <c r="M236" i="15"/>
  <c r="L236" i="15"/>
  <c r="K236" i="15"/>
  <c r="J236" i="15"/>
  <c r="I236" i="15"/>
  <c r="H236" i="15"/>
  <c r="G236" i="15"/>
  <c r="F236" i="15"/>
  <c r="E236" i="15"/>
  <c r="C236" i="15"/>
  <c r="B236" i="15"/>
  <c r="T235" i="15"/>
  <c r="S235" i="15"/>
  <c r="R235" i="15"/>
  <c r="Q235" i="15"/>
  <c r="P235" i="15"/>
  <c r="O235" i="15"/>
  <c r="N235" i="15"/>
  <c r="M235" i="15"/>
  <c r="L235" i="15"/>
  <c r="K235" i="15"/>
  <c r="J235" i="15"/>
  <c r="I235" i="15"/>
  <c r="H235" i="15"/>
  <c r="G235" i="15"/>
  <c r="F235" i="15"/>
  <c r="E235" i="15"/>
  <c r="C235" i="15"/>
  <c r="B235" i="15"/>
  <c r="T234" i="15"/>
  <c r="S234" i="15"/>
  <c r="R234" i="15"/>
  <c r="Q234" i="15"/>
  <c r="P234" i="15"/>
  <c r="O234" i="15"/>
  <c r="N234" i="15"/>
  <c r="M234" i="15"/>
  <c r="L234" i="15"/>
  <c r="K234" i="15"/>
  <c r="J234" i="15"/>
  <c r="I234" i="15"/>
  <c r="H234" i="15"/>
  <c r="G234" i="15"/>
  <c r="F234" i="15"/>
  <c r="E234" i="15"/>
  <c r="C234" i="15"/>
  <c r="B234" i="15"/>
  <c r="T233" i="15"/>
  <c r="S233" i="15"/>
  <c r="R233" i="15"/>
  <c r="Q233" i="15"/>
  <c r="P233" i="15"/>
  <c r="O233" i="15"/>
  <c r="N233" i="15"/>
  <c r="M233" i="15"/>
  <c r="L233" i="15"/>
  <c r="K233" i="15"/>
  <c r="J233" i="15"/>
  <c r="I233" i="15"/>
  <c r="H233" i="15"/>
  <c r="G233" i="15"/>
  <c r="F233" i="15"/>
  <c r="E233" i="15"/>
  <c r="C233" i="15"/>
  <c r="B233" i="15"/>
  <c r="T232" i="15"/>
  <c r="S232" i="15"/>
  <c r="R232" i="15"/>
  <c r="Q232" i="15"/>
  <c r="P232" i="15"/>
  <c r="O232" i="15"/>
  <c r="N232" i="15"/>
  <c r="M232" i="15"/>
  <c r="L232" i="15"/>
  <c r="K232" i="15"/>
  <c r="J232" i="15"/>
  <c r="I232" i="15"/>
  <c r="H232" i="15"/>
  <c r="G232" i="15"/>
  <c r="F232" i="15"/>
  <c r="E232" i="15"/>
  <c r="C232" i="15"/>
  <c r="B232" i="15"/>
  <c r="T231" i="15"/>
  <c r="S231" i="15"/>
  <c r="R231" i="15"/>
  <c r="Q231" i="15"/>
  <c r="P231" i="15"/>
  <c r="O231" i="15"/>
  <c r="N231" i="15"/>
  <c r="M231" i="15"/>
  <c r="L231" i="15"/>
  <c r="K231" i="15"/>
  <c r="J231" i="15"/>
  <c r="I231" i="15"/>
  <c r="H231" i="15"/>
  <c r="G231" i="15"/>
  <c r="F231" i="15"/>
  <c r="E231" i="15"/>
  <c r="C231" i="15"/>
  <c r="B231" i="15"/>
  <c r="T230" i="15"/>
  <c r="S230" i="15"/>
  <c r="R230" i="15"/>
  <c r="Q230" i="15"/>
  <c r="P230" i="15"/>
  <c r="O230" i="15"/>
  <c r="N230" i="15"/>
  <c r="M230" i="15"/>
  <c r="L230" i="15"/>
  <c r="K230" i="15"/>
  <c r="J230" i="15"/>
  <c r="I230" i="15"/>
  <c r="H230" i="15"/>
  <c r="G230" i="15"/>
  <c r="F230" i="15"/>
  <c r="E230" i="15"/>
  <c r="C230" i="15"/>
  <c r="B230" i="15"/>
  <c r="T229" i="15"/>
  <c r="S229" i="15"/>
  <c r="R229" i="15"/>
  <c r="Q229" i="15"/>
  <c r="P229" i="15"/>
  <c r="O229" i="15"/>
  <c r="N229" i="15"/>
  <c r="M229" i="15"/>
  <c r="L229" i="15"/>
  <c r="K229" i="15"/>
  <c r="J229" i="15"/>
  <c r="I229" i="15"/>
  <c r="H229" i="15"/>
  <c r="G229" i="15"/>
  <c r="F229" i="15"/>
  <c r="E229" i="15"/>
  <c r="C229" i="15"/>
  <c r="B229" i="15"/>
  <c r="T228" i="15"/>
  <c r="S228" i="15"/>
  <c r="R228" i="15"/>
  <c r="Q228" i="15"/>
  <c r="P228" i="15"/>
  <c r="O228" i="15"/>
  <c r="N228" i="15"/>
  <c r="M228" i="15"/>
  <c r="L228" i="15"/>
  <c r="K228" i="15"/>
  <c r="J228" i="15"/>
  <c r="I228" i="15"/>
  <c r="H228" i="15"/>
  <c r="G228" i="15"/>
  <c r="F228" i="15"/>
  <c r="E228" i="15"/>
  <c r="C228" i="15"/>
  <c r="B228" i="15"/>
  <c r="T227" i="15"/>
  <c r="S227" i="15"/>
  <c r="R227" i="15"/>
  <c r="Q227" i="15"/>
  <c r="P227" i="15"/>
  <c r="O227" i="15"/>
  <c r="N227" i="15"/>
  <c r="M227" i="15"/>
  <c r="L227" i="15"/>
  <c r="K227" i="15"/>
  <c r="J227" i="15"/>
  <c r="I227" i="15"/>
  <c r="H227" i="15"/>
  <c r="G227" i="15"/>
  <c r="F227" i="15"/>
  <c r="E227" i="15"/>
  <c r="C227" i="15"/>
  <c r="B227" i="15"/>
  <c r="T226" i="15"/>
  <c r="S226" i="15"/>
  <c r="R226" i="15"/>
  <c r="Q226" i="15"/>
  <c r="P226" i="15"/>
  <c r="O226" i="15"/>
  <c r="N226" i="15"/>
  <c r="M226" i="15"/>
  <c r="L226" i="15"/>
  <c r="K226" i="15"/>
  <c r="J226" i="15"/>
  <c r="I226" i="15"/>
  <c r="H226" i="15"/>
  <c r="G226" i="15"/>
  <c r="F226" i="15"/>
  <c r="E226" i="15"/>
  <c r="C226" i="15"/>
  <c r="B226" i="15"/>
  <c r="T225" i="15"/>
  <c r="S225" i="15"/>
  <c r="R225" i="15"/>
  <c r="Q225" i="15"/>
  <c r="P225" i="15"/>
  <c r="O225" i="15"/>
  <c r="N225" i="15"/>
  <c r="M225" i="15"/>
  <c r="L225" i="15"/>
  <c r="K225" i="15"/>
  <c r="J225" i="15"/>
  <c r="I225" i="15"/>
  <c r="H225" i="15"/>
  <c r="G225" i="15"/>
  <c r="F225" i="15"/>
  <c r="E225" i="15"/>
  <c r="C225" i="15"/>
  <c r="B225" i="15"/>
  <c r="T224" i="15"/>
  <c r="S224" i="15"/>
  <c r="R224" i="15"/>
  <c r="Q224" i="15"/>
  <c r="P224" i="15"/>
  <c r="O224" i="15"/>
  <c r="N224" i="15"/>
  <c r="M224" i="15"/>
  <c r="L224" i="15"/>
  <c r="K224" i="15"/>
  <c r="J224" i="15"/>
  <c r="I224" i="15"/>
  <c r="H224" i="15"/>
  <c r="G224" i="15"/>
  <c r="F224" i="15"/>
  <c r="E224" i="15"/>
  <c r="C224" i="15"/>
  <c r="B224" i="15"/>
  <c r="T223" i="15"/>
  <c r="S223" i="15"/>
  <c r="R223" i="15"/>
  <c r="Q223" i="15"/>
  <c r="P223" i="15"/>
  <c r="O223" i="15"/>
  <c r="N223" i="15"/>
  <c r="M223" i="15"/>
  <c r="L223" i="15"/>
  <c r="K223" i="15"/>
  <c r="J223" i="15"/>
  <c r="I223" i="15"/>
  <c r="H223" i="15"/>
  <c r="G223" i="15"/>
  <c r="F223" i="15"/>
  <c r="E223" i="15"/>
  <c r="C223" i="15"/>
  <c r="B223" i="15"/>
  <c r="T222" i="15"/>
  <c r="S222" i="15"/>
  <c r="R222" i="15"/>
  <c r="Q222" i="15"/>
  <c r="P222" i="15"/>
  <c r="O222" i="15"/>
  <c r="N222" i="15"/>
  <c r="M222" i="15"/>
  <c r="L222" i="15"/>
  <c r="K222" i="15"/>
  <c r="J222" i="15"/>
  <c r="I222" i="15"/>
  <c r="H222" i="15"/>
  <c r="G222" i="15"/>
  <c r="F222" i="15"/>
  <c r="E222" i="15"/>
  <c r="C222" i="15"/>
  <c r="B222" i="15"/>
  <c r="T221" i="15"/>
  <c r="S221" i="15"/>
  <c r="R221" i="15"/>
  <c r="Q221" i="15"/>
  <c r="P221" i="15"/>
  <c r="O221" i="15"/>
  <c r="N221" i="15"/>
  <c r="M221" i="15"/>
  <c r="L221" i="15"/>
  <c r="K221" i="15"/>
  <c r="J221" i="15"/>
  <c r="I221" i="15"/>
  <c r="H221" i="15"/>
  <c r="G221" i="15"/>
  <c r="F221" i="15"/>
  <c r="E221" i="15"/>
  <c r="C221" i="15"/>
  <c r="B221" i="15"/>
  <c r="T220" i="15"/>
  <c r="S220" i="15"/>
  <c r="R220" i="15"/>
  <c r="Q220" i="15"/>
  <c r="P220" i="15"/>
  <c r="O220" i="15"/>
  <c r="N220" i="15"/>
  <c r="M220" i="15"/>
  <c r="L220" i="15"/>
  <c r="K220" i="15"/>
  <c r="J220" i="15"/>
  <c r="I220" i="15"/>
  <c r="H220" i="15"/>
  <c r="G220" i="15"/>
  <c r="F220" i="15"/>
  <c r="E220" i="15"/>
  <c r="C220" i="15"/>
  <c r="B220" i="15"/>
  <c r="T219" i="15"/>
  <c r="S219" i="15"/>
  <c r="R219" i="15"/>
  <c r="Q219" i="15"/>
  <c r="P219" i="15"/>
  <c r="O219" i="15"/>
  <c r="N219" i="15"/>
  <c r="M219" i="15"/>
  <c r="L219" i="15"/>
  <c r="K219" i="15"/>
  <c r="J219" i="15"/>
  <c r="I219" i="15"/>
  <c r="H219" i="15"/>
  <c r="G219" i="15"/>
  <c r="F219" i="15"/>
  <c r="E219" i="15"/>
  <c r="C219" i="15"/>
  <c r="B219" i="15"/>
  <c r="T218" i="15"/>
  <c r="S218" i="15"/>
  <c r="R218" i="15"/>
  <c r="Q218" i="15"/>
  <c r="P218" i="15"/>
  <c r="O218" i="15"/>
  <c r="N218" i="15"/>
  <c r="M218" i="15"/>
  <c r="L218" i="15"/>
  <c r="K218" i="15"/>
  <c r="J218" i="15"/>
  <c r="I218" i="15"/>
  <c r="H218" i="15"/>
  <c r="G218" i="15"/>
  <c r="F218" i="15"/>
  <c r="E218" i="15"/>
  <c r="C218" i="15"/>
  <c r="B218" i="15"/>
  <c r="T217" i="15"/>
  <c r="S217" i="15"/>
  <c r="R217" i="15"/>
  <c r="Q217" i="15"/>
  <c r="P217" i="15"/>
  <c r="O217" i="15"/>
  <c r="N217" i="15"/>
  <c r="M217" i="15"/>
  <c r="L217" i="15"/>
  <c r="K217" i="15"/>
  <c r="J217" i="15"/>
  <c r="I217" i="15"/>
  <c r="H217" i="15"/>
  <c r="G217" i="15"/>
  <c r="F217" i="15"/>
  <c r="E217" i="15"/>
  <c r="C217" i="15"/>
  <c r="B217" i="15"/>
  <c r="T216" i="15"/>
  <c r="S216" i="15"/>
  <c r="R216" i="15"/>
  <c r="Q216" i="15"/>
  <c r="P216" i="15"/>
  <c r="O216" i="15"/>
  <c r="N216" i="15"/>
  <c r="M216" i="15"/>
  <c r="L216" i="15"/>
  <c r="K216" i="15"/>
  <c r="J216" i="15"/>
  <c r="I216" i="15"/>
  <c r="H216" i="15"/>
  <c r="G216" i="15"/>
  <c r="F216" i="15"/>
  <c r="E216" i="15"/>
  <c r="C216" i="15"/>
  <c r="B216" i="15"/>
  <c r="T215" i="15"/>
  <c r="S215" i="15"/>
  <c r="R215" i="15"/>
  <c r="Q215" i="15"/>
  <c r="P215" i="15"/>
  <c r="O215" i="15"/>
  <c r="N215" i="15"/>
  <c r="M215" i="15"/>
  <c r="L215" i="15"/>
  <c r="K215" i="15"/>
  <c r="J215" i="15"/>
  <c r="I215" i="15"/>
  <c r="H215" i="15"/>
  <c r="G215" i="15"/>
  <c r="F215" i="15"/>
  <c r="E215" i="15"/>
  <c r="C215" i="15"/>
  <c r="B215" i="15"/>
  <c r="T214" i="15"/>
  <c r="S214" i="15"/>
  <c r="R214" i="15"/>
  <c r="Q214" i="15"/>
  <c r="P214" i="15"/>
  <c r="O214" i="15"/>
  <c r="N214" i="15"/>
  <c r="M214" i="15"/>
  <c r="L214" i="15"/>
  <c r="K214" i="15"/>
  <c r="J214" i="15"/>
  <c r="I214" i="15"/>
  <c r="H214" i="15"/>
  <c r="G214" i="15"/>
  <c r="F214" i="15"/>
  <c r="E214" i="15"/>
  <c r="C214" i="15"/>
  <c r="B214" i="15"/>
  <c r="T213" i="15"/>
  <c r="S213" i="15"/>
  <c r="R213" i="15"/>
  <c r="Q213" i="15"/>
  <c r="P213" i="15"/>
  <c r="O213" i="15"/>
  <c r="N213" i="15"/>
  <c r="M213" i="15"/>
  <c r="L213" i="15"/>
  <c r="K213" i="15"/>
  <c r="J213" i="15"/>
  <c r="I213" i="15"/>
  <c r="H213" i="15"/>
  <c r="G213" i="15"/>
  <c r="F213" i="15"/>
  <c r="E213" i="15"/>
  <c r="C213" i="15"/>
  <c r="B213" i="15"/>
  <c r="T212" i="15"/>
  <c r="S212" i="15"/>
  <c r="R212" i="15"/>
  <c r="Q212" i="15"/>
  <c r="P212" i="15"/>
  <c r="O212" i="15"/>
  <c r="N212" i="15"/>
  <c r="M212" i="15"/>
  <c r="L212" i="15"/>
  <c r="K212" i="15"/>
  <c r="J212" i="15"/>
  <c r="I212" i="15"/>
  <c r="H212" i="15"/>
  <c r="G212" i="15"/>
  <c r="F212" i="15"/>
  <c r="E212" i="15"/>
  <c r="C212" i="15"/>
  <c r="B212" i="15"/>
  <c r="T211" i="15"/>
  <c r="S211" i="15"/>
  <c r="R211" i="15"/>
  <c r="Q211" i="15"/>
  <c r="P211" i="15"/>
  <c r="O211" i="15"/>
  <c r="N211" i="15"/>
  <c r="M211" i="15"/>
  <c r="L211" i="15"/>
  <c r="K211" i="15"/>
  <c r="J211" i="15"/>
  <c r="I211" i="15"/>
  <c r="H211" i="15"/>
  <c r="G211" i="15"/>
  <c r="F211" i="15"/>
  <c r="E211" i="15"/>
  <c r="C211" i="15"/>
  <c r="B211" i="15"/>
  <c r="T210" i="15"/>
  <c r="S210" i="15"/>
  <c r="R210" i="15"/>
  <c r="Q210" i="15"/>
  <c r="P210" i="15"/>
  <c r="O210" i="15"/>
  <c r="N210" i="15"/>
  <c r="M210" i="15"/>
  <c r="L210" i="15"/>
  <c r="K210" i="15"/>
  <c r="J210" i="15"/>
  <c r="I210" i="15"/>
  <c r="H210" i="15"/>
  <c r="G210" i="15"/>
  <c r="F210" i="15"/>
  <c r="E210" i="15"/>
  <c r="C210" i="15"/>
  <c r="B210" i="15"/>
  <c r="T209" i="15"/>
  <c r="S209" i="15"/>
  <c r="R209" i="15"/>
  <c r="Q209" i="15"/>
  <c r="P209" i="15"/>
  <c r="O209" i="15"/>
  <c r="N209" i="15"/>
  <c r="M209" i="15"/>
  <c r="L209" i="15"/>
  <c r="K209" i="15"/>
  <c r="J209" i="15"/>
  <c r="I209" i="15"/>
  <c r="H209" i="15"/>
  <c r="G209" i="15"/>
  <c r="F209" i="15"/>
  <c r="E209" i="15"/>
  <c r="C209" i="15"/>
  <c r="B209" i="15"/>
  <c r="T208" i="15"/>
  <c r="S208" i="15"/>
  <c r="R208" i="15"/>
  <c r="Q208" i="15"/>
  <c r="P208" i="15"/>
  <c r="O208" i="15"/>
  <c r="N208" i="15"/>
  <c r="M208" i="15"/>
  <c r="L208" i="15"/>
  <c r="K208" i="15"/>
  <c r="J208" i="15"/>
  <c r="I208" i="15"/>
  <c r="H208" i="15"/>
  <c r="G208" i="15"/>
  <c r="F208" i="15"/>
  <c r="E208" i="15"/>
  <c r="C208" i="15"/>
  <c r="B208" i="15"/>
  <c r="T207" i="15"/>
  <c r="S207" i="15"/>
  <c r="R207" i="15"/>
  <c r="Q207" i="15"/>
  <c r="P207" i="15"/>
  <c r="O207" i="15"/>
  <c r="N207" i="15"/>
  <c r="M207" i="15"/>
  <c r="L207" i="15"/>
  <c r="K207" i="15"/>
  <c r="J207" i="15"/>
  <c r="I207" i="15"/>
  <c r="H207" i="15"/>
  <c r="G207" i="15"/>
  <c r="F207" i="15"/>
  <c r="E207" i="15"/>
  <c r="C207" i="15"/>
  <c r="B207" i="15"/>
  <c r="T206" i="15"/>
  <c r="S206" i="15"/>
  <c r="R206" i="15"/>
  <c r="Q206" i="15"/>
  <c r="P206" i="15"/>
  <c r="O206" i="15"/>
  <c r="N206" i="15"/>
  <c r="M206" i="15"/>
  <c r="L206" i="15"/>
  <c r="K206" i="15"/>
  <c r="J206" i="15"/>
  <c r="I206" i="15"/>
  <c r="H206" i="15"/>
  <c r="G206" i="15"/>
  <c r="F206" i="15"/>
  <c r="E206" i="15"/>
  <c r="C206" i="15"/>
  <c r="B206" i="15"/>
  <c r="T205" i="15"/>
  <c r="S205" i="15"/>
  <c r="R205" i="15"/>
  <c r="Q205" i="15"/>
  <c r="P205" i="15"/>
  <c r="O205" i="15"/>
  <c r="N205" i="15"/>
  <c r="M205" i="15"/>
  <c r="L205" i="15"/>
  <c r="K205" i="15"/>
  <c r="J205" i="15"/>
  <c r="I205" i="15"/>
  <c r="H205" i="15"/>
  <c r="G205" i="15"/>
  <c r="F205" i="15"/>
  <c r="E205" i="15"/>
  <c r="C205" i="15"/>
  <c r="B205" i="15"/>
  <c r="T204" i="15"/>
  <c r="S204" i="15"/>
  <c r="R204" i="15"/>
  <c r="Q204" i="15"/>
  <c r="P204" i="15"/>
  <c r="O204" i="15"/>
  <c r="N204" i="15"/>
  <c r="M204" i="15"/>
  <c r="L204" i="15"/>
  <c r="K204" i="15"/>
  <c r="J204" i="15"/>
  <c r="I204" i="15"/>
  <c r="H204" i="15"/>
  <c r="G204" i="15"/>
  <c r="F204" i="15"/>
  <c r="E204" i="15"/>
  <c r="C204" i="15"/>
  <c r="B204" i="15"/>
  <c r="T203" i="15"/>
  <c r="S203" i="15"/>
  <c r="R203" i="15"/>
  <c r="Q203" i="15"/>
  <c r="P203" i="15"/>
  <c r="O203" i="15"/>
  <c r="N203" i="15"/>
  <c r="M203" i="15"/>
  <c r="L203" i="15"/>
  <c r="K203" i="15"/>
  <c r="J203" i="15"/>
  <c r="I203" i="15"/>
  <c r="H203" i="15"/>
  <c r="G203" i="15"/>
  <c r="F203" i="15"/>
  <c r="E203" i="15"/>
  <c r="C203" i="15"/>
  <c r="B203" i="15"/>
  <c r="T202" i="15"/>
  <c r="S202" i="15"/>
  <c r="R202" i="15"/>
  <c r="Q202" i="15"/>
  <c r="P202" i="15"/>
  <c r="O202" i="15"/>
  <c r="N202" i="15"/>
  <c r="M202" i="15"/>
  <c r="L202" i="15"/>
  <c r="K202" i="15"/>
  <c r="J202" i="15"/>
  <c r="I202" i="15"/>
  <c r="H202" i="15"/>
  <c r="G202" i="15"/>
  <c r="F202" i="15"/>
  <c r="E202" i="15"/>
  <c r="C202" i="15"/>
  <c r="B202" i="15"/>
  <c r="T201" i="15"/>
  <c r="S201" i="15"/>
  <c r="R201" i="15"/>
  <c r="Q201" i="15"/>
  <c r="P201" i="15"/>
  <c r="O201" i="15"/>
  <c r="N201" i="15"/>
  <c r="M201" i="15"/>
  <c r="L201" i="15"/>
  <c r="K201" i="15"/>
  <c r="J201" i="15"/>
  <c r="I201" i="15"/>
  <c r="H201" i="15"/>
  <c r="G201" i="15"/>
  <c r="F201" i="15"/>
  <c r="E201" i="15"/>
  <c r="C201" i="15"/>
  <c r="B201" i="15"/>
  <c r="T200" i="15"/>
  <c r="S200" i="15"/>
  <c r="R200" i="15"/>
  <c r="Q200" i="15"/>
  <c r="P200" i="15"/>
  <c r="O200" i="15"/>
  <c r="N200" i="15"/>
  <c r="M200" i="15"/>
  <c r="L200" i="15"/>
  <c r="K200" i="15"/>
  <c r="J200" i="15"/>
  <c r="I200" i="15"/>
  <c r="H200" i="15"/>
  <c r="G200" i="15"/>
  <c r="F200" i="15"/>
  <c r="E200" i="15"/>
  <c r="C200" i="15"/>
  <c r="B200" i="15"/>
  <c r="T199" i="15"/>
  <c r="S199" i="15"/>
  <c r="R199" i="15"/>
  <c r="Q199" i="15"/>
  <c r="P199" i="15"/>
  <c r="O199" i="15"/>
  <c r="N199" i="15"/>
  <c r="M199" i="15"/>
  <c r="L199" i="15"/>
  <c r="K199" i="15"/>
  <c r="J199" i="15"/>
  <c r="I199" i="15"/>
  <c r="H199" i="15"/>
  <c r="G199" i="15"/>
  <c r="F199" i="15"/>
  <c r="E199" i="15"/>
  <c r="C199" i="15"/>
  <c r="B199" i="15"/>
  <c r="T198" i="15"/>
  <c r="S198" i="15"/>
  <c r="R198" i="15"/>
  <c r="Q198" i="15"/>
  <c r="P198" i="15"/>
  <c r="O198" i="15"/>
  <c r="N198" i="15"/>
  <c r="M198" i="15"/>
  <c r="L198" i="15"/>
  <c r="K198" i="15"/>
  <c r="J198" i="15"/>
  <c r="I198" i="15"/>
  <c r="H198" i="15"/>
  <c r="G198" i="15"/>
  <c r="F198" i="15"/>
  <c r="E198" i="15"/>
  <c r="C198" i="15"/>
  <c r="B198" i="15"/>
  <c r="T197" i="15"/>
  <c r="S197" i="15"/>
  <c r="R197" i="15"/>
  <c r="Q197" i="15"/>
  <c r="P197" i="15"/>
  <c r="O197" i="15"/>
  <c r="N197" i="15"/>
  <c r="M197" i="15"/>
  <c r="L197" i="15"/>
  <c r="K197" i="15"/>
  <c r="J197" i="15"/>
  <c r="I197" i="15"/>
  <c r="H197" i="15"/>
  <c r="G197" i="15"/>
  <c r="F197" i="15"/>
  <c r="E197" i="15"/>
  <c r="C197" i="15"/>
  <c r="B197" i="15"/>
  <c r="T196" i="15"/>
  <c r="S196" i="15"/>
  <c r="R196" i="15"/>
  <c r="Q196" i="15"/>
  <c r="P196" i="15"/>
  <c r="O196" i="15"/>
  <c r="N196" i="15"/>
  <c r="M196" i="15"/>
  <c r="L196" i="15"/>
  <c r="K196" i="15"/>
  <c r="J196" i="15"/>
  <c r="I196" i="15"/>
  <c r="H196" i="15"/>
  <c r="G196" i="15"/>
  <c r="F196" i="15"/>
  <c r="E196" i="15"/>
  <c r="C196" i="15"/>
  <c r="B196" i="15"/>
  <c r="T195" i="15"/>
  <c r="S195" i="15"/>
  <c r="R195" i="15"/>
  <c r="Q195" i="15"/>
  <c r="P195" i="15"/>
  <c r="O195" i="15"/>
  <c r="N195" i="15"/>
  <c r="M195" i="15"/>
  <c r="L195" i="15"/>
  <c r="K195" i="15"/>
  <c r="J195" i="15"/>
  <c r="I195" i="15"/>
  <c r="H195" i="15"/>
  <c r="G195" i="15"/>
  <c r="F195" i="15"/>
  <c r="E195" i="15"/>
  <c r="C195" i="15"/>
  <c r="B195" i="15"/>
  <c r="T194" i="15"/>
  <c r="S194" i="15"/>
  <c r="R194" i="15"/>
  <c r="Q194" i="15"/>
  <c r="P194" i="15"/>
  <c r="O194" i="15"/>
  <c r="N194" i="15"/>
  <c r="M194" i="15"/>
  <c r="L194" i="15"/>
  <c r="K194" i="15"/>
  <c r="J194" i="15"/>
  <c r="I194" i="15"/>
  <c r="H194" i="15"/>
  <c r="G194" i="15"/>
  <c r="F194" i="15"/>
  <c r="E194" i="15"/>
  <c r="C194" i="15"/>
  <c r="B194" i="15"/>
  <c r="T193" i="15"/>
  <c r="S193" i="15"/>
  <c r="R193" i="15"/>
  <c r="Q193" i="15"/>
  <c r="P193" i="15"/>
  <c r="O193" i="15"/>
  <c r="N193" i="15"/>
  <c r="M193" i="15"/>
  <c r="L193" i="15"/>
  <c r="K193" i="15"/>
  <c r="J193" i="15"/>
  <c r="I193" i="15"/>
  <c r="H193" i="15"/>
  <c r="G193" i="15"/>
  <c r="F193" i="15"/>
  <c r="E193" i="15"/>
  <c r="C193" i="15"/>
  <c r="B193" i="15"/>
  <c r="T192" i="15"/>
  <c r="S192" i="15"/>
  <c r="R192" i="15"/>
  <c r="Q192" i="15"/>
  <c r="P192" i="15"/>
  <c r="O192" i="15"/>
  <c r="N192" i="15"/>
  <c r="M192" i="15"/>
  <c r="L192" i="15"/>
  <c r="K192" i="15"/>
  <c r="J192" i="15"/>
  <c r="I192" i="15"/>
  <c r="H192" i="15"/>
  <c r="G192" i="15"/>
  <c r="F192" i="15"/>
  <c r="E192" i="15"/>
  <c r="C192" i="15"/>
  <c r="B192" i="15"/>
  <c r="T191" i="15"/>
  <c r="S191" i="15"/>
  <c r="R191" i="15"/>
  <c r="Q191" i="15"/>
  <c r="P191" i="15"/>
  <c r="O191" i="15"/>
  <c r="N191" i="15"/>
  <c r="M191" i="15"/>
  <c r="L191" i="15"/>
  <c r="K191" i="15"/>
  <c r="J191" i="15"/>
  <c r="I191" i="15"/>
  <c r="H191" i="15"/>
  <c r="G191" i="15"/>
  <c r="F191" i="15"/>
  <c r="E191" i="15"/>
  <c r="C191" i="15"/>
  <c r="B191" i="15"/>
  <c r="T190" i="15"/>
  <c r="S190" i="15"/>
  <c r="R190" i="15"/>
  <c r="Q190" i="15"/>
  <c r="P190" i="15"/>
  <c r="O190" i="15"/>
  <c r="N190" i="15"/>
  <c r="M190" i="15"/>
  <c r="L190" i="15"/>
  <c r="K190" i="15"/>
  <c r="J190" i="15"/>
  <c r="I190" i="15"/>
  <c r="H190" i="15"/>
  <c r="G190" i="15"/>
  <c r="F190" i="15"/>
  <c r="E190" i="15"/>
  <c r="C190" i="15"/>
  <c r="B190" i="15"/>
  <c r="T189" i="15"/>
  <c r="S189" i="15"/>
  <c r="R189" i="15"/>
  <c r="Q189" i="15"/>
  <c r="P189" i="15"/>
  <c r="O189" i="15"/>
  <c r="N189" i="15"/>
  <c r="M189" i="15"/>
  <c r="L189" i="15"/>
  <c r="K189" i="15"/>
  <c r="J189" i="15"/>
  <c r="I189" i="15"/>
  <c r="H189" i="15"/>
  <c r="G189" i="15"/>
  <c r="F189" i="15"/>
  <c r="E189" i="15"/>
  <c r="C189" i="15"/>
  <c r="B189" i="15"/>
  <c r="T188" i="15"/>
  <c r="S188" i="15"/>
  <c r="R188" i="15"/>
  <c r="Q188" i="15"/>
  <c r="P188" i="15"/>
  <c r="O188" i="15"/>
  <c r="N188" i="15"/>
  <c r="M188" i="15"/>
  <c r="L188" i="15"/>
  <c r="K188" i="15"/>
  <c r="J188" i="15"/>
  <c r="I188" i="15"/>
  <c r="H188" i="15"/>
  <c r="G188" i="15"/>
  <c r="F188" i="15"/>
  <c r="E188" i="15"/>
  <c r="C188" i="15"/>
  <c r="B188" i="15"/>
  <c r="T187" i="15"/>
  <c r="S187" i="15"/>
  <c r="R187" i="15"/>
  <c r="Q187" i="15"/>
  <c r="P187" i="15"/>
  <c r="O187" i="15"/>
  <c r="N187" i="15"/>
  <c r="M187" i="15"/>
  <c r="L187" i="15"/>
  <c r="K187" i="15"/>
  <c r="J187" i="15"/>
  <c r="I187" i="15"/>
  <c r="H187" i="15"/>
  <c r="G187" i="15"/>
  <c r="F187" i="15"/>
  <c r="E187" i="15"/>
  <c r="C187" i="15"/>
  <c r="B187" i="15"/>
  <c r="T186" i="15"/>
  <c r="S186" i="15"/>
  <c r="R186" i="15"/>
  <c r="Q186" i="15"/>
  <c r="P186" i="15"/>
  <c r="O186" i="15"/>
  <c r="N186" i="15"/>
  <c r="M186" i="15"/>
  <c r="L186" i="15"/>
  <c r="K186" i="15"/>
  <c r="J186" i="15"/>
  <c r="I186" i="15"/>
  <c r="H186" i="15"/>
  <c r="G186" i="15"/>
  <c r="F186" i="15"/>
  <c r="E186" i="15"/>
  <c r="C186" i="15"/>
  <c r="B186" i="15"/>
  <c r="T185" i="15"/>
  <c r="S185" i="15"/>
  <c r="R185" i="15"/>
  <c r="Q185" i="15"/>
  <c r="P185" i="15"/>
  <c r="O185" i="15"/>
  <c r="N185" i="15"/>
  <c r="M185" i="15"/>
  <c r="L185" i="15"/>
  <c r="K185" i="15"/>
  <c r="J185" i="15"/>
  <c r="I185" i="15"/>
  <c r="H185" i="15"/>
  <c r="G185" i="15"/>
  <c r="F185" i="15"/>
  <c r="E185" i="15"/>
  <c r="C185" i="15"/>
  <c r="B185" i="15"/>
  <c r="T184" i="15"/>
  <c r="S184" i="15"/>
  <c r="R184" i="15"/>
  <c r="Q184" i="15"/>
  <c r="P184" i="15"/>
  <c r="O184" i="15"/>
  <c r="N184" i="15"/>
  <c r="M184" i="15"/>
  <c r="L184" i="15"/>
  <c r="K184" i="15"/>
  <c r="J184" i="15"/>
  <c r="I184" i="15"/>
  <c r="H184" i="15"/>
  <c r="G184" i="15"/>
  <c r="F184" i="15"/>
  <c r="E184" i="15"/>
  <c r="C184" i="15"/>
  <c r="B184" i="15"/>
  <c r="T183" i="15"/>
  <c r="S183" i="15"/>
  <c r="R183" i="15"/>
  <c r="Q183" i="15"/>
  <c r="P183" i="15"/>
  <c r="O183" i="15"/>
  <c r="N183" i="15"/>
  <c r="M183" i="15"/>
  <c r="L183" i="15"/>
  <c r="K183" i="15"/>
  <c r="J183" i="15"/>
  <c r="I183" i="15"/>
  <c r="H183" i="15"/>
  <c r="G183" i="15"/>
  <c r="F183" i="15"/>
  <c r="E183" i="15"/>
  <c r="C183" i="15"/>
  <c r="B183" i="15"/>
  <c r="T182" i="15"/>
  <c r="S182" i="15"/>
  <c r="R182" i="15"/>
  <c r="Q182" i="15"/>
  <c r="P182" i="15"/>
  <c r="O182" i="15"/>
  <c r="N182" i="15"/>
  <c r="M182" i="15"/>
  <c r="L182" i="15"/>
  <c r="K182" i="15"/>
  <c r="J182" i="15"/>
  <c r="I182" i="15"/>
  <c r="H182" i="15"/>
  <c r="G182" i="15"/>
  <c r="F182" i="15"/>
  <c r="E182" i="15"/>
  <c r="C182" i="15"/>
  <c r="B182" i="15"/>
  <c r="T181" i="15"/>
  <c r="S181" i="15"/>
  <c r="R181" i="15"/>
  <c r="Q181" i="15"/>
  <c r="P181" i="15"/>
  <c r="O181" i="15"/>
  <c r="N181" i="15"/>
  <c r="M181" i="15"/>
  <c r="L181" i="15"/>
  <c r="K181" i="15"/>
  <c r="J181" i="15"/>
  <c r="I181" i="15"/>
  <c r="H181" i="15"/>
  <c r="G181" i="15"/>
  <c r="F181" i="15"/>
  <c r="E181" i="15"/>
  <c r="C181" i="15"/>
  <c r="B181" i="15"/>
  <c r="T180" i="15"/>
  <c r="S180" i="15"/>
  <c r="R180" i="15"/>
  <c r="Q180" i="15"/>
  <c r="P180" i="15"/>
  <c r="O180" i="15"/>
  <c r="N180" i="15"/>
  <c r="M180" i="15"/>
  <c r="L180" i="15"/>
  <c r="K180" i="15"/>
  <c r="J180" i="15"/>
  <c r="I180" i="15"/>
  <c r="H180" i="15"/>
  <c r="G180" i="15"/>
  <c r="F180" i="15"/>
  <c r="E180" i="15"/>
  <c r="C180" i="15"/>
  <c r="B180" i="15"/>
  <c r="T179" i="15"/>
  <c r="S179" i="15"/>
  <c r="R179" i="15"/>
  <c r="Q179" i="15"/>
  <c r="P179" i="15"/>
  <c r="O179" i="15"/>
  <c r="N179" i="15"/>
  <c r="M179" i="15"/>
  <c r="L179" i="15"/>
  <c r="K179" i="15"/>
  <c r="J179" i="15"/>
  <c r="I179" i="15"/>
  <c r="H179" i="15"/>
  <c r="G179" i="15"/>
  <c r="F179" i="15"/>
  <c r="E179" i="15"/>
  <c r="C179" i="15"/>
  <c r="B179" i="15"/>
  <c r="T178" i="15"/>
  <c r="S178" i="15"/>
  <c r="R178" i="15"/>
  <c r="Q178" i="15"/>
  <c r="P178" i="15"/>
  <c r="O178" i="15"/>
  <c r="N178" i="15"/>
  <c r="M178" i="15"/>
  <c r="L178" i="15"/>
  <c r="K178" i="15"/>
  <c r="J178" i="15"/>
  <c r="I178" i="15"/>
  <c r="H178" i="15"/>
  <c r="G178" i="15"/>
  <c r="F178" i="15"/>
  <c r="E178" i="15"/>
  <c r="C178" i="15"/>
  <c r="B178" i="15"/>
  <c r="T177" i="15"/>
  <c r="S177" i="15"/>
  <c r="R177" i="15"/>
  <c r="Q177" i="15"/>
  <c r="P177" i="15"/>
  <c r="O177" i="15"/>
  <c r="N177" i="15"/>
  <c r="M177" i="15"/>
  <c r="L177" i="15"/>
  <c r="K177" i="15"/>
  <c r="J177" i="15"/>
  <c r="I177" i="15"/>
  <c r="H177" i="15"/>
  <c r="G177" i="15"/>
  <c r="F177" i="15"/>
  <c r="E177" i="15"/>
  <c r="C177" i="15"/>
  <c r="B177" i="15"/>
  <c r="T176" i="15"/>
  <c r="S176" i="15"/>
  <c r="R176" i="15"/>
  <c r="Q176" i="15"/>
  <c r="P176" i="15"/>
  <c r="O176" i="15"/>
  <c r="N176" i="15"/>
  <c r="M176" i="15"/>
  <c r="L176" i="15"/>
  <c r="K176" i="15"/>
  <c r="J176" i="15"/>
  <c r="I176" i="15"/>
  <c r="H176" i="15"/>
  <c r="G176" i="15"/>
  <c r="F176" i="15"/>
  <c r="E176" i="15"/>
  <c r="C176" i="15"/>
  <c r="B176" i="15"/>
  <c r="T175" i="15"/>
  <c r="S175" i="15"/>
  <c r="R175" i="15"/>
  <c r="Q175" i="15"/>
  <c r="P175" i="15"/>
  <c r="O175" i="15"/>
  <c r="N175" i="15"/>
  <c r="M175" i="15"/>
  <c r="L175" i="15"/>
  <c r="K175" i="15"/>
  <c r="J175" i="15"/>
  <c r="I175" i="15"/>
  <c r="H175" i="15"/>
  <c r="G175" i="15"/>
  <c r="F175" i="15"/>
  <c r="E175" i="15"/>
  <c r="C175" i="15"/>
  <c r="B175" i="15"/>
  <c r="T174" i="15"/>
  <c r="S174" i="15"/>
  <c r="R174" i="15"/>
  <c r="Q174" i="15"/>
  <c r="P174" i="15"/>
  <c r="O174" i="15"/>
  <c r="N174" i="15"/>
  <c r="M174" i="15"/>
  <c r="L174" i="15"/>
  <c r="K174" i="15"/>
  <c r="J174" i="15"/>
  <c r="I174" i="15"/>
  <c r="H174" i="15"/>
  <c r="G174" i="15"/>
  <c r="F174" i="15"/>
  <c r="E174" i="15"/>
  <c r="C174" i="15"/>
  <c r="B174" i="15"/>
  <c r="T173" i="15"/>
  <c r="S173" i="15"/>
  <c r="R173" i="15"/>
  <c r="Q173" i="15"/>
  <c r="P173" i="15"/>
  <c r="O173" i="15"/>
  <c r="N173" i="15"/>
  <c r="M173" i="15"/>
  <c r="L173" i="15"/>
  <c r="K173" i="15"/>
  <c r="J173" i="15"/>
  <c r="I173" i="15"/>
  <c r="H173" i="15"/>
  <c r="G173" i="15"/>
  <c r="F173" i="15"/>
  <c r="E173" i="15"/>
  <c r="C173" i="15"/>
  <c r="B173" i="15"/>
  <c r="T172" i="15"/>
  <c r="S172" i="15"/>
  <c r="R172" i="15"/>
  <c r="Q172" i="15"/>
  <c r="P172" i="15"/>
  <c r="O172" i="15"/>
  <c r="N172" i="15"/>
  <c r="M172" i="15"/>
  <c r="L172" i="15"/>
  <c r="K172" i="15"/>
  <c r="J172" i="15"/>
  <c r="I172" i="15"/>
  <c r="H172" i="15"/>
  <c r="G172" i="15"/>
  <c r="F172" i="15"/>
  <c r="E172" i="15"/>
  <c r="C172" i="15"/>
  <c r="B172" i="15"/>
  <c r="T171" i="15"/>
  <c r="S171" i="15"/>
  <c r="R171" i="15"/>
  <c r="Q171" i="15"/>
  <c r="P171" i="15"/>
  <c r="O171" i="15"/>
  <c r="N171" i="15"/>
  <c r="M171" i="15"/>
  <c r="L171" i="15"/>
  <c r="K171" i="15"/>
  <c r="J171" i="15"/>
  <c r="I171" i="15"/>
  <c r="H171" i="15"/>
  <c r="G171" i="15"/>
  <c r="F171" i="15"/>
  <c r="E171" i="15"/>
  <c r="C171" i="15"/>
  <c r="B171" i="15"/>
  <c r="T170" i="15"/>
  <c r="S170" i="15"/>
  <c r="R170" i="15"/>
  <c r="Q170" i="15"/>
  <c r="P170" i="15"/>
  <c r="O170" i="15"/>
  <c r="N170" i="15"/>
  <c r="M170" i="15"/>
  <c r="L170" i="15"/>
  <c r="K170" i="15"/>
  <c r="J170" i="15"/>
  <c r="I170" i="15"/>
  <c r="H170" i="15"/>
  <c r="G170" i="15"/>
  <c r="F170" i="15"/>
  <c r="E170" i="15"/>
  <c r="C170" i="15"/>
  <c r="B170" i="15"/>
  <c r="T169" i="15"/>
  <c r="S169" i="15"/>
  <c r="R169" i="15"/>
  <c r="Q169" i="15"/>
  <c r="P169" i="15"/>
  <c r="O169" i="15"/>
  <c r="N169" i="15"/>
  <c r="M169" i="15"/>
  <c r="L169" i="15"/>
  <c r="K169" i="15"/>
  <c r="J169" i="15"/>
  <c r="I169" i="15"/>
  <c r="H169" i="15"/>
  <c r="G169" i="15"/>
  <c r="F169" i="15"/>
  <c r="E169" i="15"/>
  <c r="C169" i="15"/>
  <c r="B169" i="15"/>
  <c r="T168" i="15"/>
  <c r="S168" i="15"/>
  <c r="R168" i="15"/>
  <c r="Q168" i="15"/>
  <c r="P168" i="15"/>
  <c r="O168" i="15"/>
  <c r="N168" i="15"/>
  <c r="M168" i="15"/>
  <c r="L168" i="15"/>
  <c r="K168" i="15"/>
  <c r="J168" i="15"/>
  <c r="I168" i="15"/>
  <c r="H168" i="15"/>
  <c r="G168" i="15"/>
  <c r="F168" i="15"/>
  <c r="E168" i="15"/>
  <c r="C168" i="15"/>
  <c r="B168" i="15"/>
  <c r="T167" i="15"/>
  <c r="S167" i="15"/>
  <c r="R167" i="15"/>
  <c r="Q167" i="15"/>
  <c r="P167" i="15"/>
  <c r="O167" i="15"/>
  <c r="N167" i="15"/>
  <c r="M167" i="15"/>
  <c r="L167" i="15"/>
  <c r="K167" i="15"/>
  <c r="J167" i="15"/>
  <c r="I167" i="15"/>
  <c r="H167" i="15"/>
  <c r="G167" i="15"/>
  <c r="F167" i="15"/>
  <c r="E167" i="15"/>
  <c r="C167" i="15"/>
  <c r="B167" i="15"/>
  <c r="T166" i="15"/>
  <c r="S166" i="15"/>
  <c r="R166" i="15"/>
  <c r="Q166" i="15"/>
  <c r="P166" i="15"/>
  <c r="O166" i="15"/>
  <c r="N166" i="15"/>
  <c r="M166" i="15"/>
  <c r="L166" i="15"/>
  <c r="K166" i="15"/>
  <c r="J166" i="15"/>
  <c r="I166" i="15"/>
  <c r="H166" i="15"/>
  <c r="G166" i="15"/>
  <c r="F166" i="15"/>
  <c r="E166" i="15"/>
  <c r="C166" i="15"/>
  <c r="B166" i="15"/>
  <c r="T165" i="15"/>
  <c r="S165" i="15"/>
  <c r="R165" i="15"/>
  <c r="Q165" i="15"/>
  <c r="P165" i="15"/>
  <c r="O165" i="15"/>
  <c r="N165" i="15"/>
  <c r="M165" i="15"/>
  <c r="L165" i="15"/>
  <c r="K165" i="15"/>
  <c r="J165" i="15"/>
  <c r="I165" i="15"/>
  <c r="H165" i="15"/>
  <c r="G165" i="15"/>
  <c r="F165" i="15"/>
  <c r="E165" i="15"/>
  <c r="C165" i="15"/>
  <c r="B165" i="15"/>
  <c r="T164" i="15"/>
  <c r="S164" i="15"/>
  <c r="R164" i="15"/>
  <c r="Q164" i="15"/>
  <c r="P164" i="15"/>
  <c r="O164" i="15"/>
  <c r="N164" i="15"/>
  <c r="M164" i="15"/>
  <c r="L164" i="15"/>
  <c r="K164" i="15"/>
  <c r="J164" i="15"/>
  <c r="I164" i="15"/>
  <c r="H164" i="15"/>
  <c r="G164" i="15"/>
  <c r="F164" i="15"/>
  <c r="E164" i="15"/>
  <c r="C164" i="15"/>
  <c r="B164" i="15"/>
  <c r="T163" i="15"/>
  <c r="S163" i="15"/>
  <c r="R163" i="15"/>
  <c r="Q163" i="15"/>
  <c r="P163" i="15"/>
  <c r="O163" i="15"/>
  <c r="N163" i="15"/>
  <c r="M163" i="15"/>
  <c r="L163" i="15"/>
  <c r="K163" i="15"/>
  <c r="J163" i="15"/>
  <c r="I163" i="15"/>
  <c r="H163" i="15"/>
  <c r="G163" i="15"/>
  <c r="F163" i="15"/>
  <c r="E163" i="15"/>
  <c r="C163" i="15"/>
  <c r="B163" i="15"/>
  <c r="T162" i="15"/>
  <c r="S162" i="15"/>
  <c r="R162" i="15"/>
  <c r="Q162" i="15"/>
  <c r="P162" i="15"/>
  <c r="O162" i="15"/>
  <c r="N162" i="15"/>
  <c r="M162" i="15"/>
  <c r="L162" i="15"/>
  <c r="K162" i="15"/>
  <c r="J162" i="15"/>
  <c r="I162" i="15"/>
  <c r="H162" i="15"/>
  <c r="G162" i="15"/>
  <c r="F162" i="15"/>
  <c r="E162" i="15"/>
  <c r="C162" i="15"/>
  <c r="B162" i="15"/>
  <c r="T161" i="15"/>
  <c r="S161" i="15"/>
  <c r="R161" i="15"/>
  <c r="Q161" i="15"/>
  <c r="P161" i="15"/>
  <c r="O161" i="15"/>
  <c r="N161" i="15"/>
  <c r="M161" i="15"/>
  <c r="L161" i="15"/>
  <c r="K161" i="15"/>
  <c r="J161" i="15"/>
  <c r="I161" i="15"/>
  <c r="H161" i="15"/>
  <c r="G161" i="15"/>
  <c r="F161" i="15"/>
  <c r="E161" i="15"/>
  <c r="C161" i="15"/>
  <c r="B161" i="15"/>
  <c r="T160" i="15"/>
  <c r="S160" i="15"/>
  <c r="R160" i="15"/>
  <c r="Q160" i="15"/>
  <c r="P160" i="15"/>
  <c r="O160" i="15"/>
  <c r="N160" i="15"/>
  <c r="M160" i="15"/>
  <c r="L160" i="15"/>
  <c r="K160" i="15"/>
  <c r="J160" i="15"/>
  <c r="I160" i="15"/>
  <c r="H160" i="15"/>
  <c r="G160" i="15"/>
  <c r="F160" i="15"/>
  <c r="E160" i="15"/>
  <c r="C160" i="15"/>
  <c r="B160" i="15"/>
  <c r="T159" i="15"/>
  <c r="S159" i="15"/>
  <c r="R159" i="15"/>
  <c r="Q159" i="15"/>
  <c r="P159" i="15"/>
  <c r="O159" i="15"/>
  <c r="N159" i="15"/>
  <c r="M159" i="15"/>
  <c r="L159" i="15"/>
  <c r="K159" i="15"/>
  <c r="J159" i="15"/>
  <c r="I159" i="15"/>
  <c r="H159" i="15"/>
  <c r="G159" i="15"/>
  <c r="F159" i="15"/>
  <c r="E159" i="15"/>
  <c r="C159" i="15"/>
  <c r="B159" i="15"/>
  <c r="T158" i="15"/>
  <c r="S158" i="15"/>
  <c r="R158" i="15"/>
  <c r="Q158" i="15"/>
  <c r="P158" i="15"/>
  <c r="O158" i="15"/>
  <c r="N158" i="15"/>
  <c r="M158" i="15"/>
  <c r="L158" i="15"/>
  <c r="K158" i="15"/>
  <c r="J158" i="15"/>
  <c r="I158" i="15"/>
  <c r="H158" i="15"/>
  <c r="G158" i="15"/>
  <c r="F158" i="15"/>
  <c r="E158" i="15"/>
  <c r="C158" i="15"/>
  <c r="B158" i="15"/>
  <c r="T157" i="15"/>
  <c r="S157" i="15"/>
  <c r="R157" i="15"/>
  <c r="Q157" i="15"/>
  <c r="P157" i="15"/>
  <c r="O157" i="15"/>
  <c r="N157" i="15"/>
  <c r="M157" i="15"/>
  <c r="L157" i="15"/>
  <c r="K157" i="15"/>
  <c r="J157" i="15"/>
  <c r="I157" i="15"/>
  <c r="H157" i="15"/>
  <c r="G157" i="15"/>
  <c r="F157" i="15"/>
  <c r="E157" i="15"/>
  <c r="C157" i="15"/>
  <c r="B157" i="15"/>
  <c r="T156" i="15"/>
  <c r="S156" i="15"/>
  <c r="R156" i="15"/>
  <c r="Q156" i="15"/>
  <c r="P156" i="15"/>
  <c r="O156" i="15"/>
  <c r="N156" i="15"/>
  <c r="M156" i="15"/>
  <c r="L156" i="15"/>
  <c r="K156" i="15"/>
  <c r="J156" i="15"/>
  <c r="I156" i="15"/>
  <c r="H156" i="15"/>
  <c r="G156" i="15"/>
  <c r="F156" i="15"/>
  <c r="E156" i="15"/>
  <c r="C156" i="15"/>
  <c r="B156" i="15"/>
  <c r="T155" i="15"/>
  <c r="S155" i="15"/>
  <c r="R155" i="15"/>
  <c r="Q155" i="15"/>
  <c r="P155" i="15"/>
  <c r="O155" i="15"/>
  <c r="N155" i="15"/>
  <c r="M155" i="15"/>
  <c r="L155" i="15"/>
  <c r="K155" i="15"/>
  <c r="J155" i="15"/>
  <c r="I155" i="15"/>
  <c r="H155" i="15"/>
  <c r="G155" i="15"/>
  <c r="F155" i="15"/>
  <c r="E155" i="15"/>
  <c r="C155" i="15"/>
  <c r="B155" i="15"/>
  <c r="T154" i="15"/>
  <c r="S154" i="15"/>
  <c r="R154" i="15"/>
  <c r="Q154" i="15"/>
  <c r="P154" i="15"/>
  <c r="O154" i="15"/>
  <c r="N154" i="15"/>
  <c r="M154" i="15"/>
  <c r="L154" i="15"/>
  <c r="K154" i="15"/>
  <c r="J154" i="15"/>
  <c r="I154" i="15"/>
  <c r="H154" i="15"/>
  <c r="G154" i="15"/>
  <c r="F154" i="15"/>
  <c r="E154" i="15"/>
  <c r="C154" i="15"/>
  <c r="B154" i="15"/>
  <c r="T153" i="15"/>
  <c r="S153" i="15"/>
  <c r="R153" i="15"/>
  <c r="Q153" i="15"/>
  <c r="P153" i="15"/>
  <c r="O153" i="15"/>
  <c r="N153" i="15"/>
  <c r="M153" i="15"/>
  <c r="L153" i="15"/>
  <c r="K153" i="15"/>
  <c r="J153" i="15"/>
  <c r="I153" i="15"/>
  <c r="H153" i="15"/>
  <c r="G153" i="15"/>
  <c r="F153" i="15"/>
  <c r="E153" i="15"/>
  <c r="C153" i="15"/>
  <c r="B153" i="15"/>
  <c r="T152" i="15"/>
  <c r="S152" i="15"/>
  <c r="R152" i="15"/>
  <c r="Q152" i="15"/>
  <c r="P152" i="15"/>
  <c r="O152" i="15"/>
  <c r="N152" i="15"/>
  <c r="M152" i="15"/>
  <c r="L152" i="15"/>
  <c r="K152" i="15"/>
  <c r="J152" i="15"/>
  <c r="I152" i="15"/>
  <c r="H152" i="15"/>
  <c r="G152" i="15"/>
  <c r="F152" i="15"/>
  <c r="E152" i="15"/>
  <c r="C152" i="15"/>
  <c r="B152" i="15"/>
  <c r="T151" i="15"/>
  <c r="S151" i="15"/>
  <c r="R151" i="15"/>
  <c r="Q151" i="15"/>
  <c r="P151" i="15"/>
  <c r="O151" i="15"/>
  <c r="N151" i="15"/>
  <c r="M151" i="15"/>
  <c r="L151" i="15"/>
  <c r="K151" i="15"/>
  <c r="J151" i="15"/>
  <c r="I151" i="15"/>
  <c r="H151" i="15"/>
  <c r="G151" i="15"/>
  <c r="F151" i="15"/>
  <c r="E151" i="15"/>
  <c r="C151" i="15"/>
  <c r="B151" i="15"/>
  <c r="T150" i="15"/>
  <c r="S150" i="15"/>
  <c r="R150" i="15"/>
  <c r="Q150" i="15"/>
  <c r="P150" i="15"/>
  <c r="O150" i="15"/>
  <c r="N150" i="15"/>
  <c r="M150" i="15"/>
  <c r="L150" i="15"/>
  <c r="K150" i="15"/>
  <c r="J150" i="15"/>
  <c r="I150" i="15"/>
  <c r="H150" i="15"/>
  <c r="G150" i="15"/>
  <c r="F150" i="15"/>
  <c r="E150" i="15"/>
  <c r="C150" i="15"/>
  <c r="B150" i="15"/>
  <c r="T149" i="15"/>
  <c r="S149" i="15"/>
  <c r="R149" i="15"/>
  <c r="Q149" i="15"/>
  <c r="P149" i="15"/>
  <c r="O149" i="15"/>
  <c r="N149" i="15"/>
  <c r="M149" i="15"/>
  <c r="L149" i="15"/>
  <c r="K149" i="15"/>
  <c r="J149" i="15"/>
  <c r="I149" i="15"/>
  <c r="H149" i="15"/>
  <c r="G149" i="15"/>
  <c r="F149" i="15"/>
  <c r="E149" i="15"/>
  <c r="C149" i="15"/>
  <c r="B149" i="15"/>
  <c r="T148" i="15"/>
  <c r="S148" i="15"/>
  <c r="R148" i="15"/>
  <c r="Q148" i="15"/>
  <c r="P148" i="15"/>
  <c r="O148" i="15"/>
  <c r="N148" i="15"/>
  <c r="M148" i="15"/>
  <c r="L148" i="15"/>
  <c r="K148" i="15"/>
  <c r="J148" i="15"/>
  <c r="I148" i="15"/>
  <c r="H148" i="15"/>
  <c r="G148" i="15"/>
  <c r="F148" i="15"/>
  <c r="E148" i="15"/>
  <c r="C148" i="15"/>
  <c r="B148" i="15"/>
  <c r="T147" i="15"/>
  <c r="S147" i="15"/>
  <c r="R147" i="15"/>
  <c r="Q147" i="15"/>
  <c r="P147" i="15"/>
  <c r="O147" i="15"/>
  <c r="N147" i="15"/>
  <c r="M147" i="15"/>
  <c r="L147" i="15"/>
  <c r="K147" i="15"/>
  <c r="J147" i="15"/>
  <c r="I147" i="15"/>
  <c r="H147" i="15"/>
  <c r="G147" i="15"/>
  <c r="F147" i="15"/>
  <c r="E147" i="15"/>
  <c r="C147" i="15"/>
  <c r="B147" i="15"/>
  <c r="T146" i="15"/>
  <c r="S146" i="15"/>
  <c r="R146" i="15"/>
  <c r="Q146" i="15"/>
  <c r="P146" i="15"/>
  <c r="O146" i="15"/>
  <c r="N146" i="15"/>
  <c r="M146" i="15"/>
  <c r="L146" i="15"/>
  <c r="K146" i="15"/>
  <c r="J146" i="15"/>
  <c r="I146" i="15"/>
  <c r="H146" i="15"/>
  <c r="G146" i="15"/>
  <c r="F146" i="15"/>
  <c r="E146" i="15"/>
  <c r="C146" i="15"/>
  <c r="B146" i="15"/>
  <c r="T145" i="15"/>
  <c r="S145" i="15"/>
  <c r="R145" i="15"/>
  <c r="Q145" i="15"/>
  <c r="P145" i="15"/>
  <c r="O145" i="15"/>
  <c r="N145" i="15"/>
  <c r="M145" i="15"/>
  <c r="L145" i="15"/>
  <c r="K145" i="15"/>
  <c r="J145" i="15"/>
  <c r="I145" i="15"/>
  <c r="H145" i="15"/>
  <c r="G145" i="15"/>
  <c r="F145" i="15"/>
  <c r="E145" i="15"/>
  <c r="C145" i="15"/>
  <c r="B145" i="15"/>
  <c r="T144" i="15"/>
  <c r="S144" i="15"/>
  <c r="R144" i="15"/>
  <c r="Q144" i="15"/>
  <c r="P144" i="15"/>
  <c r="O144" i="15"/>
  <c r="N144" i="15"/>
  <c r="M144" i="15"/>
  <c r="L144" i="15"/>
  <c r="K144" i="15"/>
  <c r="J144" i="15"/>
  <c r="I144" i="15"/>
  <c r="H144" i="15"/>
  <c r="G144" i="15"/>
  <c r="F144" i="15"/>
  <c r="E144" i="15"/>
  <c r="C144" i="15"/>
  <c r="B144" i="15"/>
  <c r="T143" i="15"/>
  <c r="S143" i="15"/>
  <c r="R143" i="15"/>
  <c r="Q143" i="15"/>
  <c r="P143" i="15"/>
  <c r="O143" i="15"/>
  <c r="N143" i="15"/>
  <c r="M143" i="15"/>
  <c r="L143" i="15"/>
  <c r="K143" i="15"/>
  <c r="J143" i="15"/>
  <c r="I143" i="15"/>
  <c r="H143" i="15"/>
  <c r="G143" i="15"/>
  <c r="F143" i="15"/>
  <c r="E143" i="15"/>
  <c r="C143" i="15"/>
  <c r="B143" i="15"/>
  <c r="T142" i="15"/>
  <c r="S142" i="15"/>
  <c r="R142" i="15"/>
  <c r="Q142" i="15"/>
  <c r="P142" i="15"/>
  <c r="O142" i="15"/>
  <c r="N142" i="15"/>
  <c r="M142" i="15"/>
  <c r="L142" i="15"/>
  <c r="K142" i="15"/>
  <c r="J142" i="15"/>
  <c r="I142" i="15"/>
  <c r="H142" i="15"/>
  <c r="G142" i="15"/>
  <c r="F142" i="15"/>
  <c r="E142" i="15"/>
  <c r="C142" i="15"/>
  <c r="B142" i="15"/>
  <c r="T141" i="15"/>
  <c r="S141" i="15"/>
  <c r="R141" i="15"/>
  <c r="Q141" i="15"/>
  <c r="P141" i="15"/>
  <c r="O141" i="15"/>
  <c r="N141" i="15"/>
  <c r="M141" i="15"/>
  <c r="L141" i="15"/>
  <c r="K141" i="15"/>
  <c r="J141" i="15"/>
  <c r="I141" i="15"/>
  <c r="H141" i="15"/>
  <c r="G141" i="15"/>
  <c r="F141" i="15"/>
  <c r="E141" i="15"/>
  <c r="C141" i="15"/>
  <c r="B141" i="15"/>
  <c r="T140" i="15"/>
  <c r="S140" i="15"/>
  <c r="R140" i="15"/>
  <c r="Q140" i="15"/>
  <c r="P140" i="15"/>
  <c r="O140" i="15"/>
  <c r="N140" i="15"/>
  <c r="M140" i="15"/>
  <c r="L140" i="15"/>
  <c r="K140" i="15"/>
  <c r="J140" i="15"/>
  <c r="I140" i="15"/>
  <c r="H140" i="15"/>
  <c r="G140" i="15"/>
  <c r="F140" i="15"/>
  <c r="E140" i="15"/>
  <c r="C140" i="15"/>
  <c r="B140" i="15"/>
  <c r="T139" i="15"/>
  <c r="S139" i="15"/>
  <c r="R139" i="15"/>
  <c r="Q139" i="15"/>
  <c r="P139" i="15"/>
  <c r="O139" i="15"/>
  <c r="N139" i="15"/>
  <c r="M139" i="15"/>
  <c r="L139" i="15"/>
  <c r="K139" i="15"/>
  <c r="J139" i="15"/>
  <c r="I139" i="15"/>
  <c r="H139" i="15"/>
  <c r="G139" i="15"/>
  <c r="F139" i="15"/>
  <c r="E139" i="15"/>
  <c r="C139" i="15"/>
  <c r="B139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C138" i="15"/>
  <c r="B138" i="15"/>
  <c r="T137" i="15"/>
  <c r="S137" i="15"/>
  <c r="R137" i="15"/>
  <c r="Q137" i="15"/>
  <c r="P137" i="15"/>
  <c r="O137" i="15"/>
  <c r="N137" i="15"/>
  <c r="M137" i="15"/>
  <c r="L137" i="15"/>
  <c r="K137" i="15"/>
  <c r="J137" i="15"/>
  <c r="I137" i="15"/>
  <c r="H137" i="15"/>
  <c r="G137" i="15"/>
  <c r="F137" i="15"/>
  <c r="E137" i="15"/>
  <c r="C137" i="15"/>
  <c r="B137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C136" i="15"/>
  <c r="B136" i="15"/>
  <c r="T135" i="15"/>
  <c r="S135" i="15"/>
  <c r="R135" i="15"/>
  <c r="Q135" i="15"/>
  <c r="P135" i="15"/>
  <c r="O135" i="15"/>
  <c r="N135" i="15"/>
  <c r="M135" i="15"/>
  <c r="L135" i="15"/>
  <c r="K135" i="15"/>
  <c r="J135" i="15"/>
  <c r="I135" i="15"/>
  <c r="H135" i="15"/>
  <c r="G135" i="15"/>
  <c r="F135" i="15"/>
  <c r="E135" i="15"/>
  <c r="C135" i="15"/>
  <c r="B135" i="15"/>
  <c r="T134" i="15"/>
  <c r="S134" i="15"/>
  <c r="R134" i="15"/>
  <c r="Q134" i="15"/>
  <c r="P134" i="15"/>
  <c r="O134" i="15"/>
  <c r="N134" i="15"/>
  <c r="M134" i="15"/>
  <c r="L134" i="15"/>
  <c r="K134" i="15"/>
  <c r="J134" i="15"/>
  <c r="I134" i="15"/>
  <c r="H134" i="15"/>
  <c r="G134" i="15"/>
  <c r="F134" i="15"/>
  <c r="E134" i="15"/>
  <c r="C134" i="15"/>
  <c r="B134" i="15"/>
  <c r="T133" i="15"/>
  <c r="S133" i="15"/>
  <c r="R133" i="15"/>
  <c r="Q133" i="15"/>
  <c r="P133" i="15"/>
  <c r="O133" i="15"/>
  <c r="N133" i="15"/>
  <c r="M133" i="15"/>
  <c r="L133" i="15"/>
  <c r="K133" i="15"/>
  <c r="J133" i="15"/>
  <c r="I133" i="15"/>
  <c r="H133" i="15"/>
  <c r="G133" i="15"/>
  <c r="F133" i="15"/>
  <c r="E133" i="15"/>
  <c r="C133" i="15"/>
  <c r="B133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C132" i="15"/>
  <c r="B132" i="15"/>
  <c r="T131" i="15"/>
  <c r="S131" i="15"/>
  <c r="R131" i="15"/>
  <c r="Q131" i="15"/>
  <c r="P131" i="15"/>
  <c r="O131" i="15"/>
  <c r="N131" i="15"/>
  <c r="M131" i="15"/>
  <c r="L131" i="15"/>
  <c r="K131" i="15"/>
  <c r="J131" i="15"/>
  <c r="I131" i="15"/>
  <c r="H131" i="15"/>
  <c r="G131" i="15"/>
  <c r="F131" i="15"/>
  <c r="E131" i="15"/>
  <c r="C131" i="15"/>
  <c r="B131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C130" i="15"/>
  <c r="B130" i="15"/>
  <c r="T129" i="15"/>
  <c r="S129" i="15"/>
  <c r="R129" i="15"/>
  <c r="Q129" i="15"/>
  <c r="P129" i="15"/>
  <c r="O129" i="15"/>
  <c r="N129" i="15"/>
  <c r="M129" i="15"/>
  <c r="L129" i="15"/>
  <c r="K129" i="15"/>
  <c r="J129" i="15"/>
  <c r="I129" i="15"/>
  <c r="H129" i="15"/>
  <c r="G129" i="15"/>
  <c r="F129" i="15"/>
  <c r="E129" i="15"/>
  <c r="C129" i="15"/>
  <c r="B129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C128" i="15"/>
  <c r="B128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C127" i="15"/>
  <c r="B127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C126" i="15"/>
  <c r="B126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C125" i="15"/>
  <c r="B125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C124" i="15"/>
  <c r="B124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C123" i="15"/>
  <c r="B123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C122" i="15"/>
  <c r="B122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C121" i="15"/>
  <c r="B121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C120" i="15"/>
  <c r="B120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C119" i="15"/>
  <c r="B119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C118" i="15"/>
  <c r="B118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C117" i="15"/>
  <c r="B117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C116" i="15"/>
  <c r="B116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C115" i="15"/>
  <c r="B115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C114" i="15"/>
  <c r="B114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C113" i="15"/>
  <c r="B113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C112" i="15"/>
  <c r="B112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C111" i="15"/>
  <c r="B111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C110" i="15"/>
  <c r="B110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C109" i="15"/>
  <c r="B109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C108" i="15"/>
  <c r="B108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C107" i="15"/>
  <c r="B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C106" i="15"/>
  <c r="B106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C105" i="15"/>
  <c r="B105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C104" i="15"/>
  <c r="B104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C103" i="15"/>
  <c r="B103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C102" i="15"/>
  <c r="B102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C101" i="15"/>
  <c r="B101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C100" i="15"/>
  <c r="B100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C99" i="15"/>
  <c r="B99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C98" i="15"/>
  <c r="B98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C97" i="15"/>
  <c r="B97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C96" i="15"/>
  <c r="B96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C95" i="15"/>
  <c r="B95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C94" i="15"/>
  <c r="B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C93" i="15"/>
  <c r="B93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C92" i="15"/>
  <c r="B92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C91" i="15"/>
  <c r="B91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C90" i="15"/>
  <c r="B90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C89" i="15"/>
  <c r="B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C88" i="15"/>
  <c r="B88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C87" i="15"/>
  <c r="B87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C86" i="15"/>
  <c r="B86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C85" i="15"/>
  <c r="B85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C84" i="15"/>
  <c r="B84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C83" i="15"/>
  <c r="B83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C82" i="15"/>
  <c r="B82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C81" i="15"/>
  <c r="B81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C80" i="15"/>
  <c r="B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C79" i="15"/>
  <c r="B79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C78" i="15"/>
  <c r="B78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C77" i="15"/>
  <c r="B77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C76" i="15"/>
  <c r="B76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C75" i="15"/>
  <c r="B75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C74" i="15"/>
  <c r="B74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C73" i="15"/>
  <c r="B73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C72" i="15"/>
  <c r="B72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C71" i="15"/>
  <c r="B71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C70" i="15"/>
  <c r="B70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C69" i="15"/>
  <c r="B69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C68" i="15"/>
  <c r="B68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C67" i="15"/>
  <c r="B67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C66" i="15"/>
  <c r="B66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C65" i="15"/>
  <c r="B65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C64" i="15"/>
  <c r="B64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C63" i="15"/>
  <c r="B63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C62" i="15"/>
  <c r="B62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C61" i="15"/>
  <c r="B61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C60" i="15"/>
  <c r="B60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C59" i="15"/>
  <c r="B59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C58" i="15"/>
  <c r="B58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C57" i="15"/>
  <c r="B57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C56" i="15"/>
  <c r="B56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C55" i="15"/>
  <c r="B55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C54" i="15"/>
  <c r="B54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C53" i="15"/>
  <c r="B53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C52" i="15"/>
  <c r="B52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C51" i="15"/>
  <c r="B51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C50" i="15"/>
  <c r="B50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C49" i="15"/>
  <c r="B49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C48" i="15"/>
  <c r="B48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C47" i="15"/>
  <c r="B47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C46" i="15"/>
  <c r="B46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C45" i="15"/>
  <c r="B45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C44" i="15"/>
  <c r="B44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C43" i="15"/>
  <c r="B43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C42" i="15"/>
  <c r="B42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C41" i="15"/>
  <c r="B41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C40" i="15"/>
  <c r="B40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C39" i="15"/>
  <c r="B39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C38" i="15"/>
  <c r="B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C37" i="15"/>
  <c r="B37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C36" i="15"/>
  <c r="B36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C35" i="15"/>
  <c r="B35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C34" i="15"/>
  <c r="B34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C33" i="15"/>
  <c r="B33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C32" i="15"/>
  <c r="B32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C31" i="15"/>
  <c r="B31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C30" i="15"/>
  <c r="B30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C29" i="15"/>
  <c r="B29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C28" i="15"/>
  <c r="B28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C27" i="15"/>
  <c r="B27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C26" i="15"/>
  <c r="B26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C25" i="15"/>
  <c r="B25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C24" i="15"/>
  <c r="B24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C23" i="15"/>
  <c r="B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C22" i="15"/>
  <c r="B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C21" i="15"/>
  <c r="B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C20" i="15"/>
  <c r="B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C19" i="15"/>
  <c r="B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C18" i="15"/>
  <c r="B18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C17" i="15"/>
  <c r="B17" i="15"/>
  <c r="X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C16" i="15"/>
  <c r="B16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C15" i="15"/>
  <c r="B15" i="15"/>
  <c r="T14" i="15"/>
  <c r="S14" i="15"/>
  <c r="R14" i="15"/>
  <c r="Q14" i="15"/>
  <c r="P14" i="15"/>
  <c r="O14" i="15"/>
  <c r="W4" i="15" s="1"/>
  <c r="N14" i="15"/>
  <c r="M14" i="15"/>
  <c r="L14" i="15"/>
  <c r="K14" i="15"/>
  <c r="J14" i="15"/>
  <c r="I14" i="15"/>
  <c r="H14" i="15"/>
  <c r="G14" i="15"/>
  <c r="F14" i="15"/>
  <c r="E14" i="15"/>
  <c r="C14" i="15"/>
  <c r="B14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C13" i="15"/>
  <c r="B13" i="15"/>
  <c r="W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C12" i="15"/>
  <c r="B12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C11" i="15"/>
  <c r="B11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C10" i="15"/>
  <c r="B10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C9" i="15"/>
  <c r="B9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C8" i="15"/>
  <c r="B8" i="15"/>
  <c r="T7" i="15"/>
  <c r="S7" i="15"/>
  <c r="R7" i="15"/>
  <c r="Q7" i="15"/>
  <c r="P7" i="15"/>
  <c r="O7" i="15"/>
  <c r="N7" i="15"/>
  <c r="M7" i="15"/>
  <c r="L7" i="15"/>
  <c r="K7" i="15"/>
  <c r="J7" i="15"/>
  <c r="I7" i="15"/>
  <c r="H7" i="15"/>
  <c r="G7" i="15"/>
  <c r="F7" i="15"/>
  <c r="X4" i="15" s="1"/>
  <c r="E7" i="15"/>
  <c r="C7" i="15"/>
  <c r="B7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C6" i="15"/>
  <c r="B6" i="15"/>
  <c r="T5" i="15"/>
  <c r="S5" i="15"/>
  <c r="R5" i="15"/>
  <c r="Q5" i="15"/>
  <c r="P5" i="15"/>
  <c r="O5" i="15"/>
  <c r="N5" i="15"/>
  <c r="M5" i="15"/>
  <c r="L5" i="15"/>
  <c r="K5" i="15"/>
  <c r="J5" i="15"/>
  <c r="I5" i="15"/>
  <c r="H5" i="15"/>
  <c r="G5" i="15"/>
  <c r="F5" i="15"/>
  <c r="E5" i="15"/>
  <c r="C5" i="15"/>
  <c r="B5" i="15"/>
  <c r="T4" i="15"/>
  <c r="S4" i="15"/>
  <c r="R4" i="15"/>
  <c r="Q4" i="15"/>
  <c r="P4" i="15"/>
  <c r="O4" i="15"/>
  <c r="N4" i="15"/>
  <c r="M4" i="15"/>
  <c r="L4" i="15"/>
  <c r="K4" i="15"/>
  <c r="J4" i="15"/>
  <c r="Y21" i="15" s="1"/>
  <c r="I4" i="15"/>
  <c r="H4" i="15"/>
  <c r="G4" i="15"/>
  <c r="F4" i="15"/>
  <c r="X21" i="15" s="1"/>
  <c r="E4" i="15"/>
  <c r="C4" i="15"/>
  <c r="B4" i="15"/>
  <c r="S543" i="14"/>
  <c r="R543" i="14"/>
  <c r="Q543" i="14"/>
  <c r="P543" i="14"/>
  <c r="O543" i="14"/>
  <c r="N543" i="14"/>
  <c r="M543" i="14"/>
  <c r="L543" i="14"/>
  <c r="K543" i="14"/>
  <c r="J543" i="14"/>
  <c r="I543" i="14"/>
  <c r="H543" i="14"/>
  <c r="F543" i="14"/>
  <c r="E543" i="14"/>
  <c r="D543" i="14"/>
  <c r="C543" i="14"/>
  <c r="B543" i="14"/>
  <c r="S542" i="14"/>
  <c r="R542" i="14"/>
  <c r="Q542" i="14"/>
  <c r="P542" i="14"/>
  <c r="O542" i="14"/>
  <c r="N542" i="14"/>
  <c r="M542" i="14"/>
  <c r="L542" i="14"/>
  <c r="K542" i="14"/>
  <c r="J542" i="14"/>
  <c r="I542" i="14"/>
  <c r="H542" i="14"/>
  <c r="F542" i="14"/>
  <c r="E542" i="14"/>
  <c r="D542" i="14"/>
  <c r="C542" i="14"/>
  <c r="B542" i="14"/>
  <c r="S541" i="14"/>
  <c r="R541" i="14"/>
  <c r="Q541" i="14"/>
  <c r="P541" i="14"/>
  <c r="O541" i="14"/>
  <c r="N541" i="14"/>
  <c r="M541" i="14"/>
  <c r="L541" i="14"/>
  <c r="K541" i="14"/>
  <c r="J541" i="14"/>
  <c r="I541" i="14"/>
  <c r="H541" i="14"/>
  <c r="F541" i="14"/>
  <c r="E541" i="14"/>
  <c r="D541" i="14"/>
  <c r="C541" i="14"/>
  <c r="B541" i="14"/>
  <c r="S540" i="14"/>
  <c r="R540" i="14"/>
  <c r="Q540" i="14"/>
  <c r="P540" i="14"/>
  <c r="O540" i="14"/>
  <c r="N540" i="14"/>
  <c r="M540" i="14"/>
  <c r="L540" i="14"/>
  <c r="K540" i="14"/>
  <c r="J540" i="14"/>
  <c r="I540" i="14"/>
  <c r="H540" i="14"/>
  <c r="F540" i="14"/>
  <c r="E540" i="14"/>
  <c r="D540" i="14"/>
  <c r="C540" i="14"/>
  <c r="B540" i="14"/>
  <c r="S539" i="14"/>
  <c r="R539" i="14"/>
  <c r="Q539" i="14"/>
  <c r="P539" i="14"/>
  <c r="O539" i="14"/>
  <c r="N539" i="14"/>
  <c r="M539" i="14"/>
  <c r="L539" i="14"/>
  <c r="K539" i="14"/>
  <c r="J539" i="14"/>
  <c r="I539" i="14"/>
  <c r="H539" i="14"/>
  <c r="F539" i="14"/>
  <c r="E539" i="14"/>
  <c r="D539" i="14"/>
  <c r="C539" i="14"/>
  <c r="B539" i="14"/>
  <c r="S538" i="14"/>
  <c r="R538" i="14"/>
  <c r="Q538" i="14"/>
  <c r="P538" i="14"/>
  <c r="O538" i="14"/>
  <c r="N538" i="14"/>
  <c r="M538" i="14"/>
  <c r="L538" i="14"/>
  <c r="K538" i="14"/>
  <c r="J538" i="14"/>
  <c r="I538" i="14"/>
  <c r="H538" i="14"/>
  <c r="F538" i="14"/>
  <c r="E538" i="14"/>
  <c r="D538" i="14"/>
  <c r="C538" i="14"/>
  <c r="B538" i="14"/>
  <c r="S537" i="14"/>
  <c r="R537" i="14"/>
  <c r="Q537" i="14"/>
  <c r="P537" i="14"/>
  <c r="O537" i="14"/>
  <c r="N537" i="14"/>
  <c r="M537" i="14"/>
  <c r="L537" i="14"/>
  <c r="K537" i="14"/>
  <c r="J537" i="14"/>
  <c r="I537" i="14"/>
  <c r="H537" i="14"/>
  <c r="F537" i="14"/>
  <c r="E537" i="14"/>
  <c r="D537" i="14"/>
  <c r="C537" i="14"/>
  <c r="B537" i="14"/>
  <c r="S536" i="14"/>
  <c r="R536" i="14"/>
  <c r="Q536" i="14"/>
  <c r="P536" i="14"/>
  <c r="O536" i="14"/>
  <c r="N536" i="14"/>
  <c r="M536" i="14"/>
  <c r="L536" i="14"/>
  <c r="K536" i="14"/>
  <c r="J536" i="14"/>
  <c r="I536" i="14"/>
  <c r="H536" i="14"/>
  <c r="F536" i="14"/>
  <c r="E536" i="14"/>
  <c r="D536" i="14"/>
  <c r="C536" i="14"/>
  <c r="B536" i="14"/>
  <c r="S535" i="14"/>
  <c r="R535" i="14"/>
  <c r="Q535" i="14"/>
  <c r="P535" i="14"/>
  <c r="O535" i="14"/>
  <c r="N535" i="14"/>
  <c r="M535" i="14"/>
  <c r="L535" i="14"/>
  <c r="K535" i="14"/>
  <c r="J535" i="14"/>
  <c r="I535" i="14"/>
  <c r="H535" i="14"/>
  <c r="F535" i="14"/>
  <c r="E535" i="14"/>
  <c r="D535" i="14"/>
  <c r="C535" i="14"/>
  <c r="B535" i="14"/>
  <c r="S534" i="14"/>
  <c r="R534" i="14"/>
  <c r="Q534" i="14"/>
  <c r="P534" i="14"/>
  <c r="O534" i="14"/>
  <c r="N534" i="14"/>
  <c r="M534" i="14"/>
  <c r="L534" i="14"/>
  <c r="K534" i="14"/>
  <c r="F534" i="14"/>
  <c r="E534" i="14"/>
  <c r="D534" i="14"/>
  <c r="C534" i="14"/>
  <c r="B534" i="14"/>
  <c r="S533" i="14"/>
  <c r="R533" i="14"/>
  <c r="Q533" i="14"/>
  <c r="P533" i="14"/>
  <c r="O533" i="14"/>
  <c r="N533" i="14"/>
  <c r="M533" i="14"/>
  <c r="L533" i="14"/>
  <c r="K533" i="14"/>
  <c r="F533" i="14"/>
  <c r="E533" i="14"/>
  <c r="D533" i="14"/>
  <c r="C533" i="14"/>
  <c r="B533" i="14"/>
  <c r="S532" i="14"/>
  <c r="R532" i="14"/>
  <c r="Q532" i="14"/>
  <c r="P532" i="14"/>
  <c r="O532" i="14"/>
  <c r="N532" i="14"/>
  <c r="M532" i="14"/>
  <c r="L532" i="14"/>
  <c r="K532" i="14"/>
  <c r="F532" i="14"/>
  <c r="E532" i="14"/>
  <c r="D532" i="14"/>
  <c r="C532" i="14"/>
  <c r="S531" i="14"/>
  <c r="R531" i="14"/>
  <c r="Q531" i="14"/>
  <c r="P531" i="14"/>
  <c r="O531" i="14"/>
  <c r="N531" i="14"/>
  <c r="M531" i="14"/>
  <c r="L531" i="14"/>
  <c r="K531" i="14"/>
  <c r="J531" i="14"/>
  <c r="I531" i="14"/>
  <c r="H531" i="14"/>
  <c r="F531" i="14"/>
  <c r="E531" i="14"/>
  <c r="D531" i="14"/>
  <c r="C531" i="14"/>
  <c r="B531" i="14"/>
  <c r="S530" i="14"/>
  <c r="R530" i="14"/>
  <c r="Q530" i="14"/>
  <c r="P530" i="14"/>
  <c r="O530" i="14"/>
  <c r="N530" i="14"/>
  <c r="M530" i="14"/>
  <c r="L530" i="14"/>
  <c r="K530" i="14"/>
  <c r="J530" i="14"/>
  <c r="I530" i="14"/>
  <c r="H530" i="14"/>
  <c r="F530" i="14"/>
  <c r="E530" i="14"/>
  <c r="D530" i="14"/>
  <c r="C530" i="14"/>
  <c r="B530" i="14"/>
  <c r="S529" i="14"/>
  <c r="R529" i="14"/>
  <c r="Q529" i="14"/>
  <c r="P529" i="14"/>
  <c r="O529" i="14"/>
  <c r="N529" i="14"/>
  <c r="M529" i="14"/>
  <c r="L529" i="14"/>
  <c r="K529" i="14"/>
  <c r="J529" i="14"/>
  <c r="I529" i="14"/>
  <c r="H529" i="14"/>
  <c r="F529" i="14"/>
  <c r="E529" i="14"/>
  <c r="D529" i="14"/>
  <c r="C529" i="14"/>
  <c r="B529" i="14"/>
  <c r="S528" i="14"/>
  <c r="R528" i="14"/>
  <c r="Q528" i="14"/>
  <c r="P528" i="14"/>
  <c r="O528" i="14"/>
  <c r="N528" i="14"/>
  <c r="M528" i="14"/>
  <c r="L528" i="14"/>
  <c r="K528" i="14"/>
  <c r="J528" i="14"/>
  <c r="I528" i="14"/>
  <c r="H528" i="14"/>
  <c r="F528" i="14"/>
  <c r="E528" i="14"/>
  <c r="D528" i="14"/>
  <c r="C528" i="14"/>
  <c r="B528" i="14"/>
  <c r="S527" i="14"/>
  <c r="R527" i="14"/>
  <c r="Q527" i="14"/>
  <c r="P527" i="14"/>
  <c r="O527" i="14"/>
  <c r="N527" i="14"/>
  <c r="M527" i="14"/>
  <c r="L527" i="14"/>
  <c r="K527" i="14"/>
  <c r="J527" i="14"/>
  <c r="I527" i="14"/>
  <c r="H527" i="14"/>
  <c r="F527" i="14"/>
  <c r="E527" i="14"/>
  <c r="D527" i="14"/>
  <c r="C527" i="14"/>
  <c r="B527" i="14"/>
  <c r="S526" i="14"/>
  <c r="R526" i="14"/>
  <c r="Q526" i="14"/>
  <c r="P526" i="14"/>
  <c r="O526" i="14"/>
  <c r="N526" i="14"/>
  <c r="M526" i="14"/>
  <c r="L526" i="14"/>
  <c r="K526" i="14"/>
  <c r="J526" i="14"/>
  <c r="I526" i="14"/>
  <c r="H526" i="14"/>
  <c r="F526" i="14"/>
  <c r="E526" i="14"/>
  <c r="D526" i="14"/>
  <c r="C526" i="14"/>
  <c r="B526" i="14"/>
  <c r="S525" i="14"/>
  <c r="R525" i="14"/>
  <c r="Q525" i="14"/>
  <c r="P525" i="14"/>
  <c r="O525" i="14"/>
  <c r="N525" i="14"/>
  <c r="M525" i="14"/>
  <c r="L525" i="14"/>
  <c r="K525" i="14"/>
  <c r="J525" i="14"/>
  <c r="I525" i="14"/>
  <c r="H525" i="14"/>
  <c r="F525" i="14"/>
  <c r="E525" i="14"/>
  <c r="D525" i="14"/>
  <c r="C525" i="14"/>
  <c r="B525" i="14"/>
  <c r="S524" i="14"/>
  <c r="R524" i="14"/>
  <c r="Q524" i="14"/>
  <c r="P524" i="14"/>
  <c r="O524" i="14"/>
  <c r="N524" i="14"/>
  <c r="M524" i="14"/>
  <c r="L524" i="14"/>
  <c r="K524" i="14"/>
  <c r="J524" i="14"/>
  <c r="I524" i="14"/>
  <c r="H524" i="14"/>
  <c r="F524" i="14"/>
  <c r="E524" i="14"/>
  <c r="D524" i="14"/>
  <c r="C524" i="14"/>
  <c r="B524" i="14"/>
  <c r="S523" i="14"/>
  <c r="R523" i="14"/>
  <c r="Q523" i="14"/>
  <c r="P523" i="14"/>
  <c r="O523" i="14"/>
  <c r="N523" i="14"/>
  <c r="M523" i="14"/>
  <c r="L523" i="14"/>
  <c r="K523" i="14"/>
  <c r="J523" i="14"/>
  <c r="I523" i="14"/>
  <c r="H523" i="14"/>
  <c r="F523" i="14"/>
  <c r="E523" i="14"/>
  <c r="D523" i="14"/>
  <c r="C523" i="14"/>
  <c r="B523" i="14"/>
  <c r="S522" i="14"/>
  <c r="R522" i="14"/>
  <c r="Q522" i="14"/>
  <c r="P522" i="14"/>
  <c r="O522" i="14"/>
  <c r="N522" i="14"/>
  <c r="M522" i="14"/>
  <c r="L522" i="14"/>
  <c r="K522" i="14"/>
  <c r="J522" i="14"/>
  <c r="I522" i="14"/>
  <c r="H522" i="14"/>
  <c r="F522" i="14"/>
  <c r="E522" i="14"/>
  <c r="D522" i="14"/>
  <c r="C522" i="14"/>
  <c r="B522" i="14"/>
  <c r="S521" i="14"/>
  <c r="R521" i="14"/>
  <c r="Q521" i="14"/>
  <c r="P521" i="14"/>
  <c r="O521" i="14"/>
  <c r="N521" i="14"/>
  <c r="M521" i="14"/>
  <c r="L521" i="14"/>
  <c r="K521" i="14"/>
  <c r="J521" i="14"/>
  <c r="I521" i="14"/>
  <c r="H521" i="14"/>
  <c r="F521" i="14"/>
  <c r="E521" i="14"/>
  <c r="D521" i="14"/>
  <c r="C521" i="14"/>
  <c r="B521" i="14"/>
  <c r="S520" i="14"/>
  <c r="R520" i="14"/>
  <c r="Q520" i="14"/>
  <c r="P520" i="14"/>
  <c r="O520" i="14"/>
  <c r="N520" i="14"/>
  <c r="M520" i="14"/>
  <c r="L520" i="14"/>
  <c r="K520" i="14"/>
  <c r="J520" i="14"/>
  <c r="I520" i="14"/>
  <c r="H520" i="14"/>
  <c r="F520" i="14"/>
  <c r="E520" i="14"/>
  <c r="D520" i="14"/>
  <c r="C520" i="14"/>
  <c r="B520" i="14"/>
  <c r="S519" i="14"/>
  <c r="R519" i="14"/>
  <c r="Q519" i="14"/>
  <c r="P519" i="14"/>
  <c r="O519" i="14"/>
  <c r="N519" i="14"/>
  <c r="M519" i="14"/>
  <c r="L519" i="14"/>
  <c r="K519" i="14"/>
  <c r="J519" i="14"/>
  <c r="I519" i="14"/>
  <c r="H519" i="14"/>
  <c r="F519" i="14"/>
  <c r="E519" i="14"/>
  <c r="D519" i="14"/>
  <c r="C519" i="14"/>
  <c r="B519" i="14"/>
  <c r="S518" i="14"/>
  <c r="R518" i="14"/>
  <c r="Q518" i="14"/>
  <c r="P518" i="14"/>
  <c r="O518" i="14"/>
  <c r="N518" i="14"/>
  <c r="M518" i="14"/>
  <c r="L518" i="14"/>
  <c r="K518" i="14"/>
  <c r="J518" i="14"/>
  <c r="I518" i="14"/>
  <c r="H518" i="14"/>
  <c r="F518" i="14"/>
  <c r="E518" i="14"/>
  <c r="D518" i="14"/>
  <c r="C518" i="14"/>
  <c r="B518" i="14"/>
  <c r="S517" i="14"/>
  <c r="R517" i="14"/>
  <c r="Q517" i="14"/>
  <c r="P517" i="14"/>
  <c r="O517" i="14"/>
  <c r="N517" i="14"/>
  <c r="M517" i="14"/>
  <c r="L517" i="14"/>
  <c r="K517" i="14"/>
  <c r="J517" i="14"/>
  <c r="I517" i="14"/>
  <c r="H517" i="14"/>
  <c r="F517" i="14"/>
  <c r="E517" i="14"/>
  <c r="D517" i="14"/>
  <c r="C517" i="14"/>
  <c r="B517" i="14"/>
  <c r="S516" i="14"/>
  <c r="R516" i="14"/>
  <c r="Q516" i="14"/>
  <c r="P516" i="14"/>
  <c r="O516" i="14"/>
  <c r="N516" i="14"/>
  <c r="M516" i="14"/>
  <c r="L516" i="14"/>
  <c r="K516" i="14"/>
  <c r="J516" i="14"/>
  <c r="I516" i="14"/>
  <c r="H516" i="14"/>
  <c r="F516" i="14"/>
  <c r="E516" i="14"/>
  <c r="D516" i="14"/>
  <c r="C516" i="14"/>
  <c r="B516" i="14"/>
  <c r="S515" i="14"/>
  <c r="R515" i="14"/>
  <c r="Q515" i="14"/>
  <c r="P515" i="14"/>
  <c r="O515" i="14"/>
  <c r="N515" i="14"/>
  <c r="M515" i="14"/>
  <c r="L515" i="14"/>
  <c r="K515" i="14"/>
  <c r="J515" i="14"/>
  <c r="I515" i="14"/>
  <c r="H515" i="14"/>
  <c r="F515" i="14"/>
  <c r="E515" i="14"/>
  <c r="D515" i="14"/>
  <c r="C515" i="14"/>
  <c r="B515" i="14"/>
  <c r="S514" i="14"/>
  <c r="R514" i="14"/>
  <c r="Q514" i="14"/>
  <c r="P514" i="14"/>
  <c r="O514" i="14"/>
  <c r="N514" i="14"/>
  <c r="M514" i="14"/>
  <c r="L514" i="14"/>
  <c r="K514" i="14"/>
  <c r="J514" i="14"/>
  <c r="I514" i="14"/>
  <c r="H514" i="14"/>
  <c r="F514" i="14"/>
  <c r="E514" i="14"/>
  <c r="D514" i="14"/>
  <c r="C514" i="14"/>
  <c r="B514" i="14"/>
  <c r="S513" i="14"/>
  <c r="R513" i="14"/>
  <c r="Q513" i="14"/>
  <c r="P513" i="14"/>
  <c r="O513" i="14"/>
  <c r="N513" i="14"/>
  <c r="M513" i="14"/>
  <c r="L513" i="14"/>
  <c r="K513" i="14"/>
  <c r="J513" i="14"/>
  <c r="I513" i="14"/>
  <c r="H513" i="14"/>
  <c r="F513" i="14"/>
  <c r="E513" i="14"/>
  <c r="D513" i="14"/>
  <c r="C513" i="14"/>
  <c r="B513" i="14"/>
  <c r="S512" i="14"/>
  <c r="R512" i="14"/>
  <c r="Q512" i="14"/>
  <c r="P512" i="14"/>
  <c r="O512" i="14"/>
  <c r="N512" i="14"/>
  <c r="M512" i="14"/>
  <c r="L512" i="14"/>
  <c r="K512" i="14"/>
  <c r="J512" i="14"/>
  <c r="I512" i="14"/>
  <c r="H512" i="14"/>
  <c r="F512" i="14"/>
  <c r="E512" i="14"/>
  <c r="D512" i="14"/>
  <c r="C512" i="14"/>
  <c r="B512" i="14"/>
  <c r="S511" i="14"/>
  <c r="R511" i="14"/>
  <c r="Q511" i="14"/>
  <c r="P511" i="14"/>
  <c r="O511" i="14"/>
  <c r="N511" i="14"/>
  <c r="M511" i="14"/>
  <c r="L511" i="14"/>
  <c r="K511" i="14"/>
  <c r="J511" i="14"/>
  <c r="I511" i="14"/>
  <c r="H511" i="14"/>
  <c r="F511" i="14"/>
  <c r="E511" i="14"/>
  <c r="D511" i="14"/>
  <c r="C511" i="14"/>
  <c r="B511" i="14"/>
  <c r="S510" i="14"/>
  <c r="R510" i="14"/>
  <c r="Q510" i="14"/>
  <c r="P510" i="14"/>
  <c r="O510" i="14"/>
  <c r="N510" i="14"/>
  <c r="M510" i="14"/>
  <c r="L510" i="14"/>
  <c r="K510" i="14"/>
  <c r="J510" i="14"/>
  <c r="I510" i="14"/>
  <c r="H510" i="14"/>
  <c r="F510" i="14"/>
  <c r="E510" i="14"/>
  <c r="D510" i="14"/>
  <c r="C510" i="14"/>
  <c r="B510" i="14"/>
  <c r="S509" i="14"/>
  <c r="R509" i="14"/>
  <c r="Q509" i="14"/>
  <c r="P509" i="14"/>
  <c r="O509" i="14"/>
  <c r="N509" i="14"/>
  <c r="M509" i="14"/>
  <c r="L509" i="14"/>
  <c r="K509" i="14"/>
  <c r="J509" i="14"/>
  <c r="I509" i="14"/>
  <c r="H509" i="14"/>
  <c r="F509" i="14"/>
  <c r="E509" i="14"/>
  <c r="D509" i="14"/>
  <c r="C509" i="14"/>
  <c r="B509" i="14"/>
  <c r="S508" i="14"/>
  <c r="R508" i="14"/>
  <c r="Q508" i="14"/>
  <c r="P508" i="14"/>
  <c r="O508" i="14"/>
  <c r="N508" i="14"/>
  <c r="M508" i="14"/>
  <c r="L508" i="14"/>
  <c r="K508" i="14"/>
  <c r="J508" i="14"/>
  <c r="I508" i="14"/>
  <c r="H508" i="14"/>
  <c r="F508" i="14"/>
  <c r="E508" i="14"/>
  <c r="D508" i="14"/>
  <c r="C508" i="14"/>
  <c r="B508" i="14"/>
  <c r="S507" i="14"/>
  <c r="R507" i="14"/>
  <c r="Q507" i="14"/>
  <c r="P507" i="14"/>
  <c r="O507" i="14"/>
  <c r="N507" i="14"/>
  <c r="M507" i="14"/>
  <c r="L507" i="14"/>
  <c r="K507" i="14"/>
  <c r="J507" i="14"/>
  <c r="I507" i="14"/>
  <c r="H507" i="14"/>
  <c r="F507" i="14"/>
  <c r="E507" i="14"/>
  <c r="D507" i="14"/>
  <c r="C507" i="14"/>
  <c r="B507" i="14"/>
  <c r="S506" i="14"/>
  <c r="R506" i="14"/>
  <c r="Q506" i="14"/>
  <c r="P506" i="14"/>
  <c r="O506" i="14"/>
  <c r="N506" i="14"/>
  <c r="M506" i="14"/>
  <c r="L506" i="14"/>
  <c r="K506" i="14"/>
  <c r="J506" i="14"/>
  <c r="I506" i="14"/>
  <c r="H506" i="14"/>
  <c r="F506" i="14"/>
  <c r="E506" i="14"/>
  <c r="D506" i="14"/>
  <c r="C506" i="14"/>
  <c r="B506" i="14"/>
  <c r="S505" i="14"/>
  <c r="R505" i="14"/>
  <c r="Q505" i="14"/>
  <c r="P505" i="14"/>
  <c r="O505" i="14"/>
  <c r="N505" i="14"/>
  <c r="M505" i="14"/>
  <c r="L505" i="14"/>
  <c r="K505" i="14"/>
  <c r="J505" i="14"/>
  <c r="I505" i="14"/>
  <c r="H505" i="14"/>
  <c r="F505" i="14"/>
  <c r="E505" i="14"/>
  <c r="D505" i="14"/>
  <c r="C505" i="14"/>
  <c r="B505" i="14"/>
  <c r="S504" i="14"/>
  <c r="R504" i="14"/>
  <c r="Q504" i="14"/>
  <c r="P504" i="14"/>
  <c r="O504" i="14"/>
  <c r="N504" i="14"/>
  <c r="M504" i="14"/>
  <c r="L504" i="14"/>
  <c r="K504" i="14"/>
  <c r="J504" i="14"/>
  <c r="I504" i="14"/>
  <c r="H504" i="14"/>
  <c r="F504" i="14"/>
  <c r="E504" i="14"/>
  <c r="D504" i="14"/>
  <c r="C504" i="14"/>
  <c r="B504" i="14"/>
  <c r="S503" i="14"/>
  <c r="R503" i="14"/>
  <c r="Q503" i="14"/>
  <c r="P503" i="14"/>
  <c r="O503" i="14"/>
  <c r="N503" i="14"/>
  <c r="M503" i="14"/>
  <c r="L503" i="14"/>
  <c r="K503" i="14"/>
  <c r="J503" i="14"/>
  <c r="I503" i="14"/>
  <c r="H503" i="14"/>
  <c r="F503" i="14"/>
  <c r="E503" i="14"/>
  <c r="D503" i="14"/>
  <c r="C503" i="14"/>
  <c r="B503" i="14"/>
  <c r="S502" i="14"/>
  <c r="R502" i="14"/>
  <c r="Q502" i="14"/>
  <c r="P502" i="14"/>
  <c r="O502" i="14"/>
  <c r="N502" i="14"/>
  <c r="M502" i="14"/>
  <c r="L502" i="14"/>
  <c r="K502" i="14"/>
  <c r="J502" i="14"/>
  <c r="I502" i="14"/>
  <c r="H502" i="14"/>
  <c r="F502" i="14"/>
  <c r="E502" i="14"/>
  <c r="D502" i="14"/>
  <c r="C502" i="14"/>
  <c r="B502" i="14"/>
  <c r="S501" i="14"/>
  <c r="R501" i="14"/>
  <c r="Q501" i="14"/>
  <c r="P501" i="14"/>
  <c r="O501" i="14"/>
  <c r="N501" i="14"/>
  <c r="M501" i="14"/>
  <c r="L501" i="14"/>
  <c r="K501" i="14"/>
  <c r="J501" i="14"/>
  <c r="I501" i="14"/>
  <c r="H501" i="14"/>
  <c r="F501" i="14"/>
  <c r="E501" i="14"/>
  <c r="D501" i="14"/>
  <c r="C501" i="14"/>
  <c r="B501" i="14"/>
  <c r="S500" i="14"/>
  <c r="R500" i="14"/>
  <c r="Q500" i="14"/>
  <c r="P500" i="14"/>
  <c r="O500" i="14"/>
  <c r="N500" i="14"/>
  <c r="M500" i="14"/>
  <c r="L500" i="14"/>
  <c r="K500" i="14"/>
  <c r="J500" i="14"/>
  <c r="I500" i="14"/>
  <c r="H500" i="14"/>
  <c r="F500" i="14"/>
  <c r="E500" i="14"/>
  <c r="D500" i="14"/>
  <c r="C500" i="14"/>
  <c r="B500" i="14"/>
  <c r="S499" i="14"/>
  <c r="R499" i="14"/>
  <c r="Q499" i="14"/>
  <c r="P499" i="14"/>
  <c r="O499" i="14"/>
  <c r="N499" i="14"/>
  <c r="M499" i="14"/>
  <c r="L499" i="14"/>
  <c r="K499" i="14"/>
  <c r="J499" i="14"/>
  <c r="I499" i="14"/>
  <c r="H499" i="14"/>
  <c r="F499" i="14"/>
  <c r="E499" i="14"/>
  <c r="D499" i="14"/>
  <c r="C499" i="14"/>
  <c r="B499" i="14"/>
  <c r="S498" i="14"/>
  <c r="R498" i="14"/>
  <c r="Q498" i="14"/>
  <c r="P498" i="14"/>
  <c r="O498" i="14"/>
  <c r="N498" i="14"/>
  <c r="M498" i="14"/>
  <c r="L498" i="14"/>
  <c r="K498" i="14"/>
  <c r="J498" i="14"/>
  <c r="I498" i="14"/>
  <c r="H498" i="14"/>
  <c r="G498" i="14"/>
  <c r="F498" i="14"/>
  <c r="E498" i="14"/>
  <c r="D498" i="14"/>
  <c r="C498" i="14"/>
  <c r="S497" i="14"/>
  <c r="R497" i="14"/>
  <c r="Q497" i="14"/>
  <c r="P497" i="14"/>
  <c r="O497" i="14"/>
  <c r="N497" i="14"/>
  <c r="M497" i="14"/>
  <c r="L497" i="14"/>
  <c r="K497" i="14"/>
  <c r="J497" i="14"/>
  <c r="I497" i="14"/>
  <c r="H497" i="14"/>
  <c r="G497" i="14"/>
  <c r="F497" i="14"/>
  <c r="E497" i="14"/>
  <c r="D497" i="14"/>
  <c r="C497" i="14"/>
  <c r="B497" i="14"/>
  <c r="S496" i="14"/>
  <c r="R496" i="14"/>
  <c r="Q496" i="14"/>
  <c r="P496" i="14"/>
  <c r="O496" i="14"/>
  <c r="N496" i="14"/>
  <c r="M496" i="14"/>
  <c r="L496" i="14"/>
  <c r="K496" i="14"/>
  <c r="J496" i="14"/>
  <c r="I496" i="14"/>
  <c r="H496" i="14"/>
  <c r="G496" i="14"/>
  <c r="F496" i="14"/>
  <c r="E496" i="14"/>
  <c r="D496" i="14"/>
  <c r="C496" i="14"/>
  <c r="B496" i="14"/>
  <c r="S495" i="14"/>
  <c r="R495" i="14"/>
  <c r="Q495" i="14"/>
  <c r="P495" i="14"/>
  <c r="O495" i="14"/>
  <c r="N495" i="14"/>
  <c r="M495" i="14"/>
  <c r="L495" i="14"/>
  <c r="K495" i="14"/>
  <c r="J495" i="14"/>
  <c r="I495" i="14"/>
  <c r="H495" i="14"/>
  <c r="G495" i="14"/>
  <c r="F495" i="14"/>
  <c r="E495" i="14"/>
  <c r="D495" i="14"/>
  <c r="C495" i="14"/>
  <c r="B495" i="14"/>
  <c r="S494" i="14"/>
  <c r="R494" i="14"/>
  <c r="Q494" i="14"/>
  <c r="P494" i="14"/>
  <c r="O494" i="14"/>
  <c r="N494" i="14"/>
  <c r="M494" i="14"/>
  <c r="L494" i="14"/>
  <c r="K494" i="14"/>
  <c r="J494" i="14"/>
  <c r="I494" i="14"/>
  <c r="H494" i="14"/>
  <c r="G494" i="14"/>
  <c r="F494" i="14"/>
  <c r="E494" i="14"/>
  <c r="D494" i="14"/>
  <c r="C494" i="14"/>
  <c r="B494" i="14"/>
  <c r="S493" i="14"/>
  <c r="R493" i="14"/>
  <c r="Q493" i="14"/>
  <c r="P493" i="14"/>
  <c r="O493" i="14"/>
  <c r="N493" i="14"/>
  <c r="M493" i="14"/>
  <c r="L493" i="14"/>
  <c r="K493" i="14"/>
  <c r="J493" i="14"/>
  <c r="I493" i="14"/>
  <c r="H493" i="14"/>
  <c r="G493" i="14"/>
  <c r="F493" i="14"/>
  <c r="E493" i="14"/>
  <c r="D493" i="14"/>
  <c r="C493" i="14"/>
  <c r="B493" i="14"/>
  <c r="S492" i="14"/>
  <c r="R492" i="14"/>
  <c r="Q492" i="14"/>
  <c r="P492" i="14"/>
  <c r="O492" i="14"/>
  <c r="N492" i="14"/>
  <c r="M492" i="14"/>
  <c r="L492" i="14"/>
  <c r="K492" i="14"/>
  <c r="J492" i="14"/>
  <c r="I492" i="14"/>
  <c r="H492" i="14"/>
  <c r="G492" i="14"/>
  <c r="F492" i="14"/>
  <c r="E492" i="14"/>
  <c r="D492" i="14"/>
  <c r="C492" i="14"/>
  <c r="B492" i="14"/>
  <c r="S491" i="14"/>
  <c r="R491" i="14"/>
  <c r="Q491" i="14"/>
  <c r="P491" i="14"/>
  <c r="O491" i="14"/>
  <c r="N491" i="14"/>
  <c r="M491" i="14"/>
  <c r="L491" i="14"/>
  <c r="K491" i="14"/>
  <c r="J491" i="14"/>
  <c r="I491" i="14"/>
  <c r="H491" i="14"/>
  <c r="G491" i="14"/>
  <c r="F491" i="14"/>
  <c r="E491" i="14"/>
  <c r="D491" i="14"/>
  <c r="C491" i="14"/>
  <c r="B491" i="14"/>
  <c r="S490" i="14"/>
  <c r="R490" i="14"/>
  <c r="Q490" i="14"/>
  <c r="P490" i="14"/>
  <c r="O490" i="14"/>
  <c r="N490" i="14"/>
  <c r="M490" i="14"/>
  <c r="L490" i="14"/>
  <c r="K490" i="14"/>
  <c r="J490" i="14"/>
  <c r="I490" i="14"/>
  <c r="H490" i="14"/>
  <c r="G490" i="14"/>
  <c r="F490" i="14"/>
  <c r="E490" i="14"/>
  <c r="D490" i="14"/>
  <c r="C490" i="14"/>
  <c r="B490" i="14"/>
  <c r="S489" i="14"/>
  <c r="R489" i="14"/>
  <c r="Q489" i="14"/>
  <c r="P489" i="14"/>
  <c r="O489" i="14"/>
  <c r="N489" i="14"/>
  <c r="M489" i="14"/>
  <c r="L489" i="14"/>
  <c r="K489" i="14"/>
  <c r="J489" i="14"/>
  <c r="I489" i="14"/>
  <c r="H489" i="14"/>
  <c r="G489" i="14"/>
  <c r="F489" i="14"/>
  <c r="E489" i="14"/>
  <c r="D489" i="14"/>
  <c r="C489" i="14"/>
  <c r="B489" i="14"/>
  <c r="S488" i="14"/>
  <c r="R488" i="14"/>
  <c r="Q488" i="14"/>
  <c r="P488" i="14"/>
  <c r="O488" i="14"/>
  <c r="N488" i="14"/>
  <c r="M488" i="14"/>
  <c r="L488" i="14"/>
  <c r="K488" i="14"/>
  <c r="J488" i="14"/>
  <c r="I488" i="14"/>
  <c r="H488" i="14"/>
  <c r="G488" i="14"/>
  <c r="F488" i="14"/>
  <c r="E488" i="14"/>
  <c r="D488" i="14"/>
  <c r="C488" i="14"/>
  <c r="B488" i="14"/>
  <c r="S487" i="14"/>
  <c r="R487" i="14"/>
  <c r="Q487" i="14"/>
  <c r="P487" i="14"/>
  <c r="O487" i="14"/>
  <c r="N487" i="14"/>
  <c r="M487" i="14"/>
  <c r="L487" i="14"/>
  <c r="K487" i="14"/>
  <c r="J487" i="14"/>
  <c r="I487" i="14"/>
  <c r="H487" i="14"/>
  <c r="G487" i="14"/>
  <c r="F487" i="14"/>
  <c r="E487" i="14"/>
  <c r="D487" i="14"/>
  <c r="C487" i="14"/>
  <c r="B487" i="14"/>
  <c r="S486" i="14"/>
  <c r="R486" i="14"/>
  <c r="Q486" i="14"/>
  <c r="P486" i="14"/>
  <c r="O486" i="14"/>
  <c r="N486" i="14"/>
  <c r="M486" i="14"/>
  <c r="L486" i="14"/>
  <c r="K486" i="14"/>
  <c r="J486" i="14"/>
  <c r="I486" i="14"/>
  <c r="H486" i="14"/>
  <c r="G486" i="14"/>
  <c r="F486" i="14"/>
  <c r="E486" i="14"/>
  <c r="D486" i="14"/>
  <c r="C486" i="14"/>
  <c r="B486" i="14"/>
  <c r="S485" i="14"/>
  <c r="R485" i="14"/>
  <c r="Q485" i="14"/>
  <c r="P485" i="14"/>
  <c r="O485" i="14"/>
  <c r="N485" i="14"/>
  <c r="M485" i="14"/>
  <c r="L485" i="14"/>
  <c r="K485" i="14"/>
  <c r="J485" i="14"/>
  <c r="I485" i="14"/>
  <c r="H485" i="14"/>
  <c r="G485" i="14"/>
  <c r="F485" i="14"/>
  <c r="E485" i="14"/>
  <c r="D485" i="14"/>
  <c r="C485" i="14"/>
  <c r="B485" i="14"/>
  <c r="S484" i="14"/>
  <c r="R484" i="14"/>
  <c r="Q484" i="14"/>
  <c r="P484" i="14"/>
  <c r="O484" i="14"/>
  <c r="N484" i="14"/>
  <c r="M484" i="14"/>
  <c r="L484" i="14"/>
  <c r="K484" i="14"/>
  <c r="J484" i="14"/>
  <c r="I484" i="14"/>
  <c r="H484" i="14"/>
  <c r="G484" i="14"/>
  <c r="F484" i="14"/>
  <c r="E484" i="14"/>
  <c r="D484" i="14"/>
  <c r="C484" i="14"/>
  <c r="B484" i="14"/>
  <c r="S483" i="14"/>
  <c r="R483" i="14"/>
  <c r="Q483" i="14"/>
  <c r="P483" i="14"/>
  <c r="O483" i="14"/>
  <c r="N483" i="14"/>
  <c r="M483" i="14"/>
  <c r="L483" i="14"/>
  <c r="K483" i="14"/>
  <c r="J483" i="14"/>
  <c r="I483" i="14"/>
  <c r="H483" i="14"/>
  <c r="G483" i="14"/>
  <c r="F483" i="14"/>
  <c r="E483" i="14"/>
  <c r="D483" i="14"/>
  <c r="C483" i="14"/>
  <c r="B483" i="14"/>
  <c r="S482" i="14"/>
  <c r="R482" i="14"/>
  <c r="Q482" i="14"/>
  <c r="P482" i="14"/>
  <c r="O482" i="14"/>
  <c r="N482" i="14"/>
  <c r="M482" i="14"/>
  <c r="L482" i="14"/>
  <c r="K482" i="14"/>
  <c r="J482" i="14"/>
  <c r="I482" i="14"/>
  <c r="H482" i="14"/>
  <c r="G482" i="14"/>
  <c r="F482" i="14"/>
  <c r="E482" i="14"/>
  <c r="D482" i="14"/>
  <c r="C482" i="14"/>
  <c r="S481" i="14"/>
  <c r="R481" i="14"/>
  <c r="Q481" i="14"/>
  <c r="P481" i="14"/>
  <c r="O481" i="14"/>
  <c r="N481" i="14"/>
  <c r="M481" i="14"/>
  <c r="L481" i="14"/>
  <c r="K481" i="14"/>
  <c r="J481" i="14"/>
  <c r="I481" i="14"/>
  <c r="H481" i="14"/>
  <c r="G481" i="14"/>
  <c r="F481" i="14"/>
  <c r="E481" i="14"/>
  <c r="D481" i="14"/>
  <c r="C481" i="14"/>
  <c r="B481" i="14"/>
  <c r="S480" i="14"/>
  <c r="R480" i="14"/>
  <c r="Q480" i="14"/>
  <c r="P480" i="14"/>
  <c r="O480" i="14"/>
  <c r="N480" i="14"/>
  <c r="M480" i="14"/>
  <c r="L480" i="14"/>
  <c r="K480" i="14"/>
  <c r="J480" i="14"/>
  <c r="I480" i="14"/>
  <c r="H480" i="14"/>
  <c r="G480" i="14"/>
  <c r="F480" i="14"/>
  <c r="E480" i="14"/>
  <c r="D480" i="14"/>
  <c r="C480" i="14"/>
  <c r="B480" i="14"/>
  <c r="S479" i="14"/>
  <c r="R479" i="14"/>
  <c r="Q479" i="14"/>
  <c r="P479" i="14"/>
  <c r="O479" i="14"/>
  <c r="N479" i="14"/>
  <c r="M479" i="14"/>
  <c r="L479" i="14"/>
  <c r="K479" i="14"/>
  <c r="J479" i="14"/>
  <c r="I479" i="14"/>
  <c r="H479" i="14"/>
  <c r="G479" i="14"/>
  <c r="F479" i="14"/>
  <c r="E479" i="14"/>
  <c r="D479" i="14"/>
  <c r="C479" i="14"/>
  <c r="B479" i="14"/>
  <c r="S478" i="14"/>
  <c r="R478" i="14"/>
  <c r="Q478" i="14"/>
  <c r="P478" i="14"/>
  <c r="O478" i="14"/>
  <c r="N478" i="14"/>
  <c r="M478" i="14"/>
  <c r="L478" i="14"/>
  <c r="K478" i="14"/>
  <c r="J478" i="14"/>
  <c r="I478" i="14"/>
  <c r="H478" i="14"/>
  <c r="G478" i="14"/>
  <c r="F478" i="14"/>
  <c r="E478" i="14"/>
  <c r="D478" i="14"/>
  <c r="C478" i="14"/>
  <c r="B478" i="14"/>
  <c r="S477" i="14"/>
  <c r="R477" i="14"/>
  <c r="Q477" i="14"/>
  <c r="P477" i="14"/>
  <c r="O477" i="14"/>
  <c r="N477" i="14"/>
  <c r="M477" i="14"/>
  <c r="L477" i="14"/>
  <c r="K477" i="14"/>
  <c r="J477" i="14"/>
  <c r="I477" i="14"/>
  <c r="H477" i="14"/>
  <c r="G477" i="14"/>
  <c r="F477" i="14"/>
  <c r="E477" i="14"/>
  <c r="D477" i="14"/>
  <c r="C477" i="14"/>
  <c r="B477" i="14"/>
  <c r="S476" i="14"/>
  <c r="R476" i="14"/>
  <c r="Q476" i="14"/>
  <c r="P476" i="14"/>
  <c r="O476" i="14"/>
  <c r="N476" i="14"/>
  <c r="M476" i="14"/>
  <c r="L476" i="14"/>
  <c r="K476" i="14"/>
  <c r="J476" i="14"/>
  <c r="I476" i="14"/>
  <c r="H476" i="14"/>
  <c r="G476" i="14"/>
  <c r="F476" i="14"/>
  <c r="E476" i="14"/>
  <c r="D476" i="14"/>
  <c r="C476" i="14"/>
  <c r="B476" i="14"/>
  <c r="S475" i="14"/>
  <c r="R475" i="14"/>
  <c r="Q475" i="14"/>
  <c r="P475" i="14"/>
  <c r="O475" i="14"/>
  <c r="N475" i="14"/>
  <c r="M475" i="14"/>
  <c r="L475" i="14"/>
  <c r="K475" i="14"/>
  <c r="J475" i="14"/>
  <c r="I475" i="14"/>
  <c r="H475" i="14"/>
  <c r="G475" i="14"/>
  <c r="F475" i="14"/>
  <c r="E475" i="14"/>
  <c r="D475" i="14"/>
  <c r="C475" i="14"/>
  <c r="B475" i="14"/>
  <c r="S474" i="14"/>
  <c r="R474" i="14"/>
  <c r="Q474" i="14"/>
  <c r="P474" i="14"/>
  <c r="O474" i="14"/>
  <c r="N474" i="14"/>
  <c r="M474" i="14"/>
  <c r="L474" i="14"/>
  <c r="K474" i="14"/>
  <c r="J474" i="14"/>
  <c r="I474" i="14"/>
  <c r="H474" i="14"/>
  <c r="G474" i="14"/>
  <c r="F474" i="14"/>
  <c r="E474" i="14"/>
  <c r="D474" i="14"/>
  <c r="C474" i="14"/>
  <c r="B474" i="14"/>
  <c r="S473" i="14"/>
  <c r="R473" i="14"/>
  <c r="Q473" i="14"/>
  <c r="P473" i="14"/>
  <c r="O473" i="14"/>
  <c r="N473" i="14"/>
  <c r="M473" i="14"/>
  <c r="L473" i="14"/>
  <c r="K473" i="14"/>
  <c r="J473" i="14"/>
  <c r="I473" i="14"/>
  <c r="H473" i="14"/>
  <c r="G473" i="14"/>
  <c r="F473" i="14"/>
  <c r="E473" i="14"/>
  <c r="D473" i="14"/>
  <c r="C473" i="14"/>
  <c r="B473" i="14"/>
  <c r="S472" i="14"/>
  <c r="R472" i="14"/>
  <c r="Q472" i="14"/>
  <c r="P472" i="14"/>
  <c r="O472" i="14"/>
  <c r="N472" i="14"/>
  <c r="M472" i="14"/>
  <c r="L472" i="14"/>
  <c r="K472" i="14"/>
  <c r="J472" i="14"/>
  <c r="I472" i="14"/>
  <c r="H472" i="14"/>
  <c r="G472" i="14"/>
  <c r="F472" i="14"/>
  <c r="E472" i="14"/>
  <c r="D472" i="14"/>
  <c r="C472" i="14"/>
  <c r="B472" i="14"/>
  <c r="S471" i="14"/>
  <c r="R471" i="14"/>
  <c r="Q471" i="14"/>
  <c r="P471" i="14"/>
  <c r="O471" i="14"/>
  <c r="N471" i="14"/>
  <c r="M471" i="14"/>
  <c r="L471" i="14"/>
  <c r="K471" i="14"/>
  <c r="J471" i="14"/>
  <c r="I471" i="14"/>
  <c r="H471" i="14"/>
  <c r="G471" i="14"/>
  <c r="F471" i="14"/>
  <c r="E471" i="14"/>
  <c r="D471" i="14"/>
  <c r="C471" i="14"/>
  <c r="B471" i="14"/>
  <c r="S470" i="14"/>
  <c r="R470" i="14"/>
  <c r="Q470" i="14"/>
  <c r="P470" i="14"/>
  <c r="O470" i="14"/>
  <c r="N470" i="14"/>
  <c r="M470" i="14"/>
  <c r="L470" i="14"/>
  <c r="K470" i="14"/>
  <c r="J470" i="14"/>
  <c r="I470" i="14"/>
  <c r="H470" i="14"/>
  <c r="G470" i="14"/>
  <c r="F470" i="14"/>
  <c r="E470" i="14"/>
  <c r="D470" i="14"/>
  <c r="C470" i="14"/>
  <c r="B470" i="14"/>
  <c r="S469" i="14"/>
  <c r="R469" i="14"/>
  <c r="Q469" i="14"/>
  <c r="P469" i="14"/>
  <c r="O469" i="14"/>
  <c r="N469" i="14"/>
  <c r="M469" i="14"/>
  <c r="L469" i="14"/>
  <c r="K469" i="14"/>
  <c r="J469" i="14"/>
  <c r="I469" i="14"/>
  <c r="H469" i="14"/>
  <c r="G469" i="14"/>
  <c r="F469" i="14"/>
  <c r="E469" i="14"/>
  <c r="D469" i="14"/>
  <c r="C469" i="14"/>
  <c r="B469" i="14"/>
  <c r="S468" i="14"/>
  <c r="R468" i="14"/>
  <c r="Q468" i="14"/>
  <c r="P468" i="14"/>
  <c r="O468" i="14"/>
  <c r="N468" i="14"/>
  <c r="M468" i="14"/>
  <c r="L468" i="14"/>
  <c r="K468" i="14"/>
  <c r="J468" i="14"/>
  <c r="I468" i="14"/>
  <c r="H468" i="14"/>
  <c r="G468" i="14"/>
  <c r="F468" i="14"/>
  <c r="E468" i="14"/>
  <c r="D468" i="14"/>
  <c r="C468" i="14"/>
  <c r="B468" i="14"/>
  <c r="S467" i="14"/>
  <c r="R467" i="14"/>
  <c r="Q467" i="14"/>
  <c r="P467" i="14"/>
  <c r="O467" i="14"/>
  <c r="N467" i="14"/>
  <c r="M467" i="14"/>
  <c r="L467" i="14"/>
  <c r="K467" i="14"/>
  <c r="J467" i="14"/>
  <c r="I467" i="14"/>
  <c r="H467" i="14"/>
  <c r="G467" i="14"/>
  <c r="F467" i="14"/>
  <c r="E467" i="14"/>
  <c r="D467" i="14"/>
  <c r="C467" i="14"/>
  <c r="B467" i="14"/>
  <c r="S466" i="14"/>
  <c r="R466" i="14"/>
  <c r="Q466" i="14"/>
  <c r="P466" i="14"/>
  <c r="O466" i="14"/>
  <c r="N466" i="14"/>
  <c r="M466" i="14"/>
  <c r="L466" i="14"/>
  <c r="K466" i="14"/>
  <c r="J466" i="14"/>
  <c r="I466" i="14"/>
  <c r="H466" i="14"/>
  <c r="G466" i="14"/>
  <c r="F466" i="14"/>
  <c r="E466" i="14"/>
  <c r="D466" i="14"/>
  <c r="C466" i="14"/>
  <c r="B466" i="14"/>
  <c r="S465" i="14"/>
  <c r="R465" i="14"/>
  <c r="Q465" i="14"/>
  <c r="P465" i="14"/>
  <c r="O465" i="14"/>
  <c r="N465" i="14"/>
  <c r="M465" i="14"/>
  <c r="L465" i="14"/>
  <c r="K465" i="14"/>
  <c r="J465" i="14"/>
  <c r="I465" i="14"/>
  <c r="H465" i="14"/>
  <c r="G465" i="14"/>
  <c r="F465" i="14"/>
  <c r="E465" i="14"/>
  <c r="D465" i="14"/>
  <c r="C465" i="14"/>
  <c r="B465" i="14"/>
  <c r="S464" i="14"/>
  <c r="R464" i="14"/>
  <c r="Q464" i="14"/>
  <c r="P464" i="14"/>
  <c r="O464" i="14"/>
  <c r="N464" i="14"/>
  <c r="M464" i="14"/>
  <c r="L464" i="14"/>
  <c r="K464" i="14"/>
  <c r="J464" i="14"/>
  <c r="I464" i="14"/>
  <c r="H464" i="14"/>
  <c r="G464" i="14"/>
  <c r="F464" i="14"/>
  <c r="E464" i="14"/>
  <c r="D464" i="14"/>
  <c r="C464" i="14"/>
  <c r="B464" i="14"/>
  <c r="S463" i="14"/>
  <c r="R463" i="14"/>
  <c r="Q463" i="14"/>
  <c r="P463" i="14"/>
  <c r="O463" i="14"/>
  <c r="N463" i="14"/>
  <c r="M463" i="14"/>
  <c r="L463" i="14"/>
  <c r="K463" i="14"/>
  <c r="J463" i="14"/>
  <c r="I463" i="14"/>
  <c r="H463" i="14"/>
  <c r="G463" i="14"/>
  <c r="F463" i="14"/>
  <c r="E463" i="14"/>
  <c r="D463" i="14"/>
  <c r="C463" i="14"/>
  <c r="B463" i="14"/>
  <c r="S462" i="14"/>
  <c r="R462" i="14"/>
  <c r="Q462" i="14"/>
  <c r="P462" i="14"/>
  <c r="O462" i="14"/>
  <c r="N462" i="14"/>
  <c r="M462" i="14"/>
  <c r="L462" i="14"/>
  <c r="K462" i="14"/>
  <c r="J462" i="14"/>
  <c r="I462" i="14"/>
  <c r="H462" i="14"/>
  <c r="G462" i="14"/>
  <c r="F462" i="14"/>
  <c r="E462" i="14"/>
  <c r="D462" i="14"/>
  <c r="C462" i="14"/>
  <c r="B462" i="14"/>
  <c r="S461" i="14"/>
  <c r="R461" i="14"/>
  <c r="Q461" i="14"/>
  <c r="P461" i="14"/>
  <c r="O461" i="14"/>
  <c r="N461" i="14"/>
  <c r="M461" i="14"/>
  <c r="L461" i="14"/>
  <c r="K461" i="14"/>
  <c r="J461" i="14"/>
  <c r="I461" i="14"/>
  <c r="H461" i="14"/>
  <c r="G461" i="14"/>
  <c r="F461" i="14"/>
  <c r="E461" i="14"/>
  <c r="D461" i="14"/>
  <c r="C461" i="14"/>
  <c r="B461" i="14"/>
  <c r="S460" i="14"/>
  <c r="R460" i="14"/>
  <c r="Q460" i="14"/>
  <c r="P460" i="14"/>
  <c r="O460" i="14"/>
  <c r="N460" i="14"/>
  <c r="M460" i="14"/>
  <c r="L460" i="14"/>
  <c r="K460" i="14"/>
  <c r="J460" i="14"/>
  <c r="I460" i="14"/>
  <c r="H460" i="14"/>
  <c r="G460" i="14"/>
  <c r="F460" i="14"/>
  <c r="E460" i="14"/>
  <c r="D460" i="14"/>
  <c r="C460" i="14"/>
  <c r="B460" i="14"/>
  <c r="S459" i="14"/>
  <c r="R459" i="14"/>
  <c r="Q459" i="14"/>
  <c r="P459" i="14"/>
  <c r="O459" i="14"/>
  <c r="N459" i="14"/>
  <c r="M459" i="14"/>
  <c r="L459" i="14"/>
  <c r="K459" i="14"/>
  <c r="J459" i="14"/>
  <c r="I459" i="14"/>
  <c r="H459" i="14"/>
  <c r="G459" i="14"/>
  <c r="F459" i="14"/>
  <c r="E459" i="14"/>
  <c r="D459" i="14"/>
  <c r="C459" i="14"/>
  <c r="B459" i="14"/>
  <c r="S458" i="14"/>
  <c r="R458" i="14"/>
  <c r="Q458" i="14"/>
  <c r="P458" i="14"/>
  <c r="O458" i="14"/>
  <c r="N458" i="14"/>
  <c r="M458" i="14"/>
  <c r="L458" i="14"/>
  <c r="K458" i="14"/>
  <c r="J458" i="14"/>
  <c r="I458" i="14"/>
  <c r="H458" i="14"/>
  <c r="G458" i="14"/>
  <c r="F458" i="14"/>
  <c r="E458" i="14"/>
  <c r="D458" i="14"/>
  <c r="C458" i="14"/>
  <c r="B458" i="14"/>
  <c r="S457" i="14"/>
  <c r="R457" i="14"/>
  <c r="Q457" i="14"/>
  <c r="P457" i="14"/>
  <c r="O457" i="14"/>
  <c r="N457" i="14"/>
  <c r="M457" i="14"/>
  <c r="L457" i="14"/>
  <c r="K457" i="14"/>
  <c r="J457" i="14"/>
  <c r="I457" i="14"/>
  <c r="H457" i="14"/>
  <c r="G457" i="14"/>
  <c r="F457" i="14"/>
  <c r="E457" i="14"/>
  <c r="D457" i="14"/>
  <c r="C457" i="14"/>
  <c r="B457" i="14"/>
  <c r="S456" i="14"/>
  <c r="R456" i="14"/>
  <c r="Q456" i="14"/>
  <c r="P456" i="14"/>
  <c r="O456" i="14"/>
  <c r="N456" i="14"/>
  <c r="M456" i="14"/>
  <c r="L456" i="14"/>
  <c r="K456" i="14"/>
  <c r="J456" i="14"/>
  <c r="I456" i="14"/>
  <c r="H456" i="14"/>
  <c r="G456" i="14"/>
  <c r="F456" i="14"/>
  <c r="E456" i="14"/>
  <c r="D456" i="14"/>
  <c r="C456" i="14"/>
  <c r="B456" i="14"/>
  <c r="S455" i="14"/>
  <c r="R455" i="14"/>
  <c r="Q455" i="14"/>
  <c r="P455" i="14"/>
  <c r="O455" i="14"/>
  <c r="N455" i="14"/>
  <c r="M455" i="14"/>
  <c r="L455" i="14"/>
  <c r="K455" i="14"/>
  <c r="J455" i="14"/>
  <c r="I455" i="14"/>
  <c r="H455" i="14"/>
  <c r="G455" i="14"/>
  <c r="F455" i="14"/>
  <c r="E455" i="14"/>
  <c r="D455" i="14"/>
  <c r="C455" i="14"/>
  <c r="B455" i="14"/>
  <c r="S454" i="14"/>
  <c r="R454" i="14"/>
  <c r="Q454" i="14"/>
  <c r="P454" i="14"/>
  <c r="O454" i="14"/>
  <c r="N454" i="14"/>
  <c r="M454" i="14"/>
  <c r="L454" i="14"/>
  <c r="K454" i="14"/>
  <c r="J454" i="14"/>
  <c r="I454" i="14"/>
  <c r="H454" i="14"/>
  <c r="G454" i="14"/>
  <c r="F454" i="14"/>
  <c r="E454" i="14"/>
  <c r="D454" i="14"/>
  <c r="C454" i="14"/>
  <c r="B454" i="14"/>
  <c r="S453" i="14"/>
  <c r="R453" i="14"/>
  <c r="Q453" i="14"/>
  <c r="P453" i="14"/>
  <c r="O453" i="14"/>
  <c r="N453" i="14"/>
  <c r="M453" i="14"/>
  <c r="L453" i="14"/>
  <c r="K453" i="14"/>
  <c r="J453" i="14"/>
  <c r="I453" i="14"/>
  <c r="H453" i="14"/>
  <c r="G453" i="14"/>
  <c r="F453" i="14"/>
  <c r="E453" i="14"/>
  <c r="D453" i="14"/>
  <c r="C453" i="14"/>
  <c r="B453" i="14"/>
  <c r="S452" i="14"/>
  <c r="R452" i="14"/>
  <c r="Q452" i="14"/>
  <c r="P452" i="14"/>
  <c r="O452" i="14"/>
  <c r="N452" i="14"/>
  <c r="M452" i="14"/>
  <c r="L452" i="14"/>
  <c r="K452" i="14"/>
  <c r="J452" i="14"/>
  <c r="I452" i="14"/>
  <c r="H452" i="14"/>
  <c r="G452" i="14"/>
  <c r="F452" i="14"/>
  <c r="E452" i="14"/>
  <c r="D452" i="14"/>
  <c r="C452" i="14"/>
  <c r="B452" i="14"/>
  <c r="S451" i="14"/>
  <c r="R451" i="14"/>
  <c r="Q451" i="14"/>
  <c r="P451" i="14"/>
  <c r="O451" i="14"/>
  <c r="N451" i="14"/>
  <c r="M451" i="14"/>
  <c r="L451" i="14"/>
  <c r="K451" i="14"/>
  <c r="J451" i="14"/>
  <c r="I451" i="14"/>
  <c r="H451" i="14"/>
  <c r="G451" i="14"/>
  <c r="F451" i="14"/>
  <c r="E451" i="14"/>
  <c r="D451" i="14"/>
  <c r="C451" i="14"/>
  <c r="B451" i="14"/>
  <c r="S450" i="14"/>
  <c r="R450" i="14"/>
  <c r="Q450" i="14"/>
  <c r="P450" i="14"/>
  <c r="O450" i="14"/>
  <c r="N450" i="14"/>
  <c r="M450" i="14"/>
  <c r="L450" i="14"/>
  <c r="K450" i="14"/>
  <c r="J450" i="14"/>
  <c r="I450" i="14"/>
  <c r="H450" i="14"/>
  <c r="G450" i="14"/>
  <c r="F450" i="14"/>
  <c r="E450" i="14"/>
  <c r="D450" i="14"/>
  <c r="C450" i="14"/>
  <c r="B450" i="14"/>
  <c r="S449" i="14"/>
  <c r="R449" i="14"/>
  <c r="Q449" i="14"/>
  <c r="P449" i="14"/>
  <c r="O449" i="14"/>
  <c r="N449" i="14"/>
  <c r="M449" i="14"/>
  <c r="L449" i="14"/>
  <c r="K449" i="14"/>
  <c r="J449" i="14"/>
  <c r="I449" i="14"/>
  <c r="H449" i="14"/>
  <c r="G449" i="14"/>
  <c r="F449" i="14"/>
  <c r="E449" i="14"/>
  <c r="D449" i="14"/>
  <c r="C449" i="14"/>
  <c r="B449" i="14"/>
  <c r="S448" i="14"/>
  <c r="R448" i="14"/>
  <c r="Q448" i="14"/>
  <c r="P448" i="14"/>
  <c r="O448" i="14"/>
  <c r="N448" i="14"/>
  <c r="M448" i="14"/>
  <c r="L448" i="14"/>
  <c r="K448" i="14"/>
  <c r="J448" i="14"/>
  <c r="I448" i="14"/>
  <c r="H448" i="14"/>
  <c r="G448" i="14"/>
  <c r="F448" i="14"/>
  <c r="E448" i="14"/>
  <c r="D448" i="14"/>
  <c r="C448" i="14"/>
  <c r="B448" i="14"/>
  <c r="S447" i="14"/>
  <c r="R447" i="14"/>
  <c r="Q447" i="14"/>
  <c r="P447" i="14"/>
  <c r="O447" i="14"/>
  <c r="N447" i="14"/>
  <c r="M447" i="14"/>
  <c r="L447" i="14"/>
  <c r="K447" i="14"/>
  <c r="J447" i="14"/>
  <c r="I447" i="14"/>
  <c r="H447" i="14"/>
  <c r="G447" i="14"/>
  <c r="F447" i="14"/>
  <c r="E447" i="14"/>
  <c r="D447" i="14"/>
  <c r="C447" i="14"/>
  <c r="B447" i="14"/>
  <c r="S446" i="14"/>
  <c r="R446" i="14"/>
  <c r="Q446" i="14"/>
  <c r="P446" i="14"/>
  <c r="O446" i="14"/>
  <c r="N446" i="14"/>
  <c r="M446" i="14"/>
  <c r="L446" i="14"/>
  <c r="K446" i="14"/>
  <c r="J446" i="14"/>
  <c r="I446" i="14"/>
  <c r="H446" i="14"/>
  <c r="G446" i="14"/>
  <c r="F446" i="14"/>
  <c r="E446" i="14"/>
  <c r="D446" i="14"/>
  <c r="C446" i="14"/>
  <c r="B446" i="14"/>
  <c r="S445" i="14"/>
  <c r="R445" i="14"/>
  <c r="Q445" i="14"/>
  <c r="P445" i="14"/>
  <c r="O445" i="14"/>
  <c r="N445" i="14"/>
  <c r="M445" i="14"/>
  <c r="L445" i="14"/>
  <c r="K445" i="14"/>
  <c r="J445" i="14"/>
  <c r="I445" i="14"/>
  <c r="H445" i="14"/>
  <c r="G445" i="14"/>
  <c r="F445" i="14"/>
  <c r="E445" i="14"/>
  <c r="D445" i="14"/>
  <c r="C445" i="14"/>
  <c r="B445" i="14"/>
  <c r="S444" i="14"/>
  <c r="R444" i="14"/>
  <c r="Q444" i="14"/>
  <c r="P444" i="14"/>
  <c r="O444" i="14"/>
  <c r="N444" i="14"/>
  <c r="M444" i="14"/>
  <c r="L444" i="14"/>
  <c r="K444" i="14"/>
  <c r="J444" i="14"/>
  <c r="I444" i="14"/>
  <c r="H444" i="14"/>
  <c r="G444" i="14"/>
  <c r="F444" i="14"/>
  <c r="E444" i="14"/>
  <c r="D444" i="14"/>
  <c r="C444" i="14"/>
  <c r="B444" i="14"/>
  <c r="S443" i="14"/>
  <c r="R443" i="14"/>
  <c r="Q443" i="14"/>
  <c r="P443" i="14"/>
  <c r="O443" i="14"/>
  <c r="N443" i="14"/>
  <c r="M443" i="14"/>
  <c r="L443" i="14"/>
  <c r="K443" i="14"/>
  <c r="J443" i="14"/>
  <c r="I443" i="14"/>
  <c r="H443" i="14"/>
  <c r="G443" i="14"/>
  <c r="F443" i="14"/>
  <c r="E443" i="14"/>
  <c r="D443" i="14"/>
  <c r="C443" i="14"/>
  <c r="B443" i="14"/>
  <c r="S442" i="14"/>
  <c r="R442" i="14"/>
  <c r="Q442" i="14"/>
  <c r="P442" i="14"/>
  <c r="O442" i="14"/>
  <c r="N442" i="14"/>
  <c r="M442" i="14"/>
  <c r="L442" i="14"/>
  <c r="K442" i="14"/>
  <c r="J442" i="14"/>
  <c r="I442" i="14"/>
  <c r="H442" i="14"/>
  <c r="G442" i="14"/>
  <c r="F442" i="14"/>
  <c r="E442" i="14"/>
  <c r="D442" i="14"/>
  <c r="C442" i="14"/>
  <c r="B442" i="14"/>
  <c r="S441" i="14"/>
  <c r="R441" i="14"/>
  <c r="Q441" i="14"/>
  <c r="P441" i="14"/>
  <c r="O441" i="14"/>
  <c r="N441" i="14"/>
  <c r="M441" i="14"/>
  <c r="L441" i="14"/>
  <c r="K441" i="14"/>
  <c r="J441" i="14"/>
  <c r="I441" i="14"/>
  <c r="H441" i="14"/>
  <c r="G441" i="14"/>
  <c r="F441" i="14"/>
  <c r="E441" i="14"/>
  <c r="D441" i="14"/>
  <c r="C441" i="14"/>
  <c r="B441" i="14"/>
  <c r="S440" i="14"/>
  <c r="R440" i="14"/>
  <c r="Q440" i="14"/>
  <c r="P440" i="14"/>
  <c r="O440" i="14"/>
  <c r="N440" i="14"/>
  <c r="M440" i="14"/>
  <c r="L440" i="14"/>
  <c r="K440" i="14"/>
  <c r="J440" i="14"/>
  <c r="I440" i="14"/>
  <c r="H440" i="14"/>
  <c r="G440" i="14"/>
  <c r="F440" i="14"/>
  <c r="E440" i="14"/>
  <c r="D440" i="14"/>
  <c r="C440" i="14"/>
  <c r="B440" i="14"/>
  <c r="S439" i="14"/>
  <c r="R439" i="14"/>
  <c r="Q439" i="14"/>
  <c r="P439" i="14"/>
  <c r="O439" i="14"/>
  <c r="N439" i="14"/>
  <c r="M439" i="14"/>
  <c r="L439" i="14"/>
  <c r="K439" i="14"/>
  <c r="J439" i="14"/>
  <c r="I439" i="14"/>
  <c r="H439" i="14"/>
  <c r="G439" i="14"/>
  <c r="F439" i="14"/>
  <c r="E439" i="14"/>
  <c r="D439" i="14"/>
  <c r="C439" i="14"/>
  <c r="B439" i="14"/>
  <c r="S438" i="14"/>
  <c r="R438" i="14"/>
  <c r="Q438" i="14"/>
  <c r="P438" i="14"/>
  <c r="O438" i="14"/>
  <c r="N438" i="14"/>
  <c r="M438" i="14"/>
  <c r="L438" i="14"/>
  <c r="K438" i="14"/>
  <c r="J438" i="14"/>
  <c r="I438" i="14"/>
  <c r="H438" i="14"/>
  <c r="G438" i="14"/>
  <c r="F438" i="14"/>
  <c r="E438" i="14"/>
  <c r="D438" i="14"/>
  <c r="C438" i="14"/>
  <c r="B438" i="14"/>
  <c r="S437" i="14"/>
  <c r="R437" i="14"/>
  <c r="Q437" i="14"/>
  <c r="P437" i="14"/>
  <c r="O437" i="14"/>
  <c r="N437" i="14"/>
  <c r="M437" i="14"/>
  <c r="L437" i="14"/>
  <c r="K437" i="14"/>
  <c r="J437" i="14"/>
  <c r="I437" i="14"/>
  <c r="H437" i="14"/>
  <c r="G437" i="14"/>
  <c r="F437" i="14"/>
  <c r="E437" i="14"/>
  <c r="D437" i="14"/>
  <c r="C437" i="14"/>
  <c r="B437" i="14"/>
  <c r="S436" i="14"/>
  <c r="R436" i="14"/>
  <c r="Q436" i="14"/>
  <c r="P436" i="14"/>
  <c r="O436" i="14"/>
  <c r="N436" i="14"/>
  <c r="M436" i="14"/>
  <c r="L436" i="14"/>
  <c r="K436" i="14"/>
  <c r="J436" i="14"/>
  <c r="I436" i="14"/>
  <c r="H436" i="14"/>
  <c r="G436" i="14"/>
  <c r="F436" i="14"/>
  <c r="E436" i="14"/>
  <c r="D436" i="14"/>
  <c r="C436" i="14"/>
  <c r="B436" i="14"/>
  <c r="S435" i="14"/>
  <c r="R435" i="14"/>
  <c r="Q435" i="14"/>
  <c r="P435" i="14"/>
  <c r="O435" i="14"/>
  <c r="N435" i="14"/>
  <c r="M435" i="14"/>
  <c r="L435" i="14"/>
  <c r="K435" i="14"/>
  <c r="J435" i="14"/>
  <c r="I435" i="14"/>
  <c r="H435" i="14"/>
  <c r="G435" i="14"/>
  <c r="F435" i="14"/>
  <c r="E435" i="14"/>
  <c r="D435" i="14"/>
  <c r="C435" i="14"/>
  <c r="B435" i="14"/>
  <c r="S434" i="14"/>
  <c r="R434" i="14"/>
  <c r="Q434" i="14"/>
  <c r="P434" i="14"/>
  <c r="O434" i="14"/>
  <c r="N434" i="14"/>
  <c r="M434" i="14"/>
  <c r="L434" i="14"/>
  <c r="K434" i="14"/>
  <c r="J434" i="14"/>
  <c r="I434" i="14"/>
  <c r="H434" i="14"/>
  <c r="G434" i="14"/>
  <c r="F434" i="14"/>
  <c r="E434" i="14"/>
  <c r="D434" i="14"/>
  <c r="C434" i="14"/>
  <c r="B434" i="14"/>
  <c r="S433" i="14"/>
  <c r="R433" i="14"/>
  <c r="Q433" i="14"/>
  <c r="P433" i="14"/>
  <c r="O433" i="14"/>
  <c r="N433" i="14"/>
  <c r="M433" i="14"/>
  <c r="L433" i="14"/>
  <c r="K433" i="14"/>
  <c r="J433" i="14"/>
  <c r="I433" i="14"/>
  <c r="H433" i="14"/>
  <c r="G433" i="14"/>
  <c r="F433" i="14"/>
  <c r="E433" i="14"/>
  <c r="D433" i="14"/>
  <c r="C433" i="14"/>
  <c r="B433" i="14"/>
  <c r="S432" i="14"/>
  <c r="R432" i="14"/>
  <c r="Q432" i="14"/>
  <c r="P432" i="14"/>
  <c r="O432" i="14"/>
  <c r="N432" i="14"/>
  <c r="M432" i="14"/>
  <c r="L432" i="14"/>
  <c r="K432" i="14"/>
  <c r="J432" i="14"/>
  <c r="I432" i="14"/>
  <c r="H432" i="14"/>
  <c r="G432" i="14"/>
  <c r="F432" i="14"/>
  <c r="E432" i="14"/>
  <c r="D432" i="14"/>
  <c r="C432" i="14"/>
  <c r="B432" i="14"/>
  <c r="S431" i="14"/>
  <c r="R431" i="14"/>
  <c r="Q431" i="14"/>
  <c r="P431" i="14"/>
  <c r="O431" i="14"/>
  <c r="N431" i="14"/>
  <c r="M431" i="14"/>
  <c r="L431" i="14"/>
  <c r="K431" i="14"/>
  <c r="J431" i="14"/>
  <c r="I431" i="14"/>
  <c r="H431" i="14"/>
  <c r="G431" i="14"/>
  <c r="F431" i="14"/>
  <c r="E431" i="14"/>
  <c r="D431" i="14"/>
  <c r="C431" i="14"/>
  <c r="B431" i="14"/>
  <c r="S430" i="14"/>
  <c r="R430" i="14"/>
  <c r="Q430" i="14"/>
  <c r="P430" i="14"/>
  <c r="O430" i="14"/>
  <c r="N430" i="14"/>
  <c r="M430" i="14"/>
  <c r="L430" i="14"/>
  <c r="K430" i="14"/>
  <c r="J430" i="14"/>
  <c r="I430" i="14"/>
  <c r="H430" i="14"/>
  <c r="G430" i="14"/>
  <c r="F430" i="14"/>
  <c r="E430" i="14"/>
  <c r="D430" i="14"/>
  <c r="C430" i="14"/>
  <c r="B430" i="14"/>
  <c r="S429" i="14"/>
  <c r="R429" i="14"/>
  <c r="Q429" i="14"/>
  <c r="P429" i="14"/>
  <c r="O429" i="14"/>
  <c r="N429" i="14"/>
  <c r="M429" i="14"/>
  <c r="L429" i="14"/>
  <c r="K429" i="14"/>
  <c r="J429" i="14"/>
  <c r="I429" i="14"/>
  <c r="H429" i="14"/>
  <c r="G429" i="14"/>
  <c r="F429" i="14"/>
  <c r="E429" i="14"/>
  <c r="D429" i="14"/>
  <c r="C429" i="14"/>
  <c r="B429" i="14"/>
  <c r="S428" i="14"/>
  <c r="R428" i="14"/>
  <c r="Q428" i="14"/>
  <c r="P428" i="14"/>
  <c r="O428" i="14"/>
  <c r="N428" i="14"/>
  <c r="M428" i="14"/>
  <c r="L428" i="14"/>
  <c r="K428" i="14"/>
  <c r="J428" i="14"/>
  <c r="I428" i="14"/>
  <c r="H428" i="14"/>
  <c r="G428" i="14"/>
  <c r="F428" i="14"/>
  <c r="E428" i="14"/>
  <c r="D428" i="14"/>
  <c r="C428" i="14"/>
  <c r="B428" i="14"/>
  <c r="S427" i="14"/>
  <c r="R427" i="14"/>
  <c r="Q427" i="14"/>
  <c r="P427" i="14"/>
  <c r="O427" i="14"/>
  <c r="N427" i="14"/>
  <c r="M427" i="14"/>
  <c r="L427" i="14"/>
  <c r="K427" i="14"/>
  <c r="J427" i="14"/>
  <c r="I427" i="14"/>
  <c r="H427" i="14"/>
  <c r="G427" i="14"/>
  <c r="F427" i="14"/>
  <c r="E427" i="14"/>
  <c r="D427" i="14"/>
  <c r="C427" i="14"/>
  <c r="B427" i="14"/>
  <c r="S426" i="14"/>
  <c r="R426" i="14"/>
  <c r="Q426" i="14"/>
  <c r="P426" i="14"/>
  <c r="O426" i="14"/>
  <c r="N426" i="14"/>
  <c r="M426" i="14"/>
  <c r="L426" i="14"/>
  <c r="K426" i="14"/>
  <c r="J426" i="14"/>
  <c r="I426" i="14"/>
  <c r="H426" i="14"/>
  <c r="G426" i="14"/>
  <c r="F426" i="14"/>
  <c r="E426" i="14"/>
  <c r="D426" i="14"/>
  <c r="C426" i="14"/>
  <c r="B426" i="14"/>
  <c r="S425" i="14"/>
  <c r="R425" i="14"/>
  <c r="Q425" i="14"/>
  <c r="P425" i="14"/>
  <c r="O425" i="14"/>
  <c r="N425" i="14"/>
  <c r="M425" i="14"/>
  <c r="L425" i="14"/>
  <c r="K425" i="14"/>
  <c r="J425" i="14"/>
  <c r="I425" i="14"/>
  <c r="H425" i="14"/>
  <c r="G425" i="14"/>
  <c r="F425" i="14"/>
  <c r="E425" i="14"/>
  <c r="D425" i="14"/>
  <c r="C425" i="14"/>
  <c r="B425" i="14"/>
  <c r="S424" i="14"/>
  <c r="R424" i="14"/>
  <c r="Q424" i="14"/>
  <c r="P424" i="14"/>
  <c r="O424" i="14"/>
  <c r="N424" i="14"/>
  <c r="M424" i="14"/>
  <c r="L424" i="14"/>
  <c r="K424" i="14"/>
  <c r="J424" i="14"/>
  <c r="I424" i="14"/>
  <c r="H424" i="14"/>
  <c r="G424" i="14"/>
  <c r="F424" i="14"/>
  <c r="E424" i="14"/>
  <c r="D424" i="14"/>
  <c r="C424" i="14"/>
  <c r="B424" i="14"/>
  <c r="S423" i="14"/>
  <c r="R423" i="14"/>
  <c r="Q423" i="14"/>
  <c r="P423" i="14"/>
  <c r="O423" i="14"/>
  <c r="N423" i="14"/>
  <c r="M423" i="14"/>
  <c r="L423" i="14"/>
  <c r="K423" i="14"/>
  <c r="J423" i="14"/>
  <c r="I423" i="14"/>
  <c r="H423" i="14"/>
  <c r="G423" i="14"/>
  <c r="F423" i="14"/>
  <c r="E423" i="14"/>
  <c r="D423" i="14"/>
  <c r="C423" i="14"/>
  <c r="B423" i="14"/>
  <c r="S422" i="14"/>
  <c r="R422" i="14"/>
  <c r="Q422" i="14"/>
  <c r="P422" i="14"/>
  <c r="O422" i="14"/>
  <c r="N422" i="14"/>
  <c r="M422" i="14"/>
  <c r="L422" i="14"/>
  <c r="K422" i="14"/>
  <c r="J422" i="14"/>
  <c r="I422" i="14"/>
  <c r="H422" i="14"/>
  <c r="G422" i="14"/>
  <c r="F422" i="14"/>
  <c r="E422" i="14"/>
  <c r="D422" i="14"/>
  <c r="C422" i="14"/>
  <c r="B422" i="14"/>
  <c r="S421" i="14"/>
  <c r="R421" i="14"/>
  <c r="Q421" i="14"/>
  <c r="P421" i="14"/>
  <c r="O421" i="14"/>
  <c r="N421" i="14"/>
  <c r="M421" i="14"/>
  <c r="L421" i="14"/>
  <c r="K421" i="14"/>
  <c r="J421" i="14"/>
  <c r="I421" i="14"/>
  <c r="H421" i="14"/>
  <c r="G421" i="14"/>
  <c r="F421" i="14"/>
  <c r="E421" i="14"/>
  <c r="D421" i="14"/>
  <c r="C421" i="14"/>
  <c r="B421" i="14"/>
  <c r="S420" i="14"/>
  <c r="R420" i="14"/>
  <c r="Q420" i="14"/>
  <c r="P420" i="14"/>
  <c r="O420" i="14"/>
  <c r="N420" i="14"/>
  <c r="M420" i="14"/>
  <c r="L420" i="14"/>
  <c r="K420" i="14"/>
  <c r="J420" i="14"/>
  <c r="I420" i="14"/>
  <c r="H420" i="14"/>
  <c r="G420" i="14"/>
  <c r="F420" i="14"/>
  <c r="E420" i="14"/>
  <c r="D420" i="14"/>
  <c r="C420" i="14"/>
  <c r="B420" i="14"/>
  <c r="S419" i="14"/>
  <c r="R419" i="14"/>
  <c r="Q419" i="14"/>
  <c r="P419" i="14"/>
  <c r="O419" i="14"/>
  <c r="N419" i="14"/>
  <c r="M419" i="14"/>
  <c r="L419" i="14"/>
  <c r="K419" i="14"/>
  <c r="J419" i="14"/>
  <c r="I419" i="14"/>
  <c r="H419" i="14"/>
  <c r="G419" i="14"/>
  <c r="F419" i="14"/>
  <c r="E419" i="14"/>
  <c r="D419" i="14"/>
  <c r="C419" i="14"/>
  <c r="B419" i="14"/>
  <c r="S418" i="14"/>
  <c r="R418" i="14"/>
  <c r="Q418" i="14"/>
  <c r="P418" i="14"/>
  <c r="O418" i="14"/>
  <c r="N418" i="14"/>
  <c r="M418" i="14"/>
  <c r="L418" i="14"/>
  <c r="K418" i="14"/>
  <c r="J418" i="14"/>
  <c r="I418" i="14"/>
  <c r="H418" i="14"/>
  <c r="G418" i="14"/>
  <c r="F418" i="14"/>
  <c r="E418" i="14"/>
  <c r="D418" i="14"/>
  <c r="C418" i="14"/>
  <c r="B418" i="14"/>
  <c r="S417" i="14"/>
  <c r="R417" i="14"/>
  <c r="Q417" i="14"/>
  <c r="P417" i="14"/>
  <c r="O417" i="14"/>
  <c r="N417" i="14"/>
  <c r="M417" i="14"/>
  <c r="L417" i="14"/>
  <c r="K417" i="14"/>
  <c r="J417" i="14"/>
  <c r="I417" i="14"/>
  <c r="H417" i="14"/>
  <c r="G417" i="14"/>
  <c r="F417" i="14"/>
  <c r="E417" i="14"/>
  <c r="D417" i="14"/>
  <c r="C417" i="14"/>
  <c r="B417" i="14"/>
  <c r="S416" i="14"/>
  <c r="R416" i="14"/>
  <c r="Q416" i="14"/>
  <c r="P416" i="14"/>
  <c r="O416" i="14"/>
  <c r="N416" i="14"/>
  <c r="M416" i="14"/>
  <c r="L416" i="14"/>
  <c r="K416" i="14"/>
  <c r="J416" i="14"/>
  <c r="I416" i="14"/>
  <c r="H416" i="14"/>
  <c r="G416" i="14"/>
  <c r="F416" i="14"/>
  <c r="E416" i="14"/>
  <c r="D416" i="14"/>
  <c r="C416" i="14"/>
  <c r="B416" i="14"/>
  <c r="S415" i="14"/>
  <c r="R415" i="14"/>
  <c r="Q415" i="14"/>
  <c r="P415" i="14"/>
  <c r="O415" i="14"/>
  <c r="N415" i="14"/>
  <c r="M415" i="14"/>
  <c r="L415" i="14"/>
  <c r="K415" i="14"/>
  <c r="J415" i="14"/>
  <c r="I415" i="14"/>
  <c r="H415" i="14"/>
  <c r="G415" i="14"/>
  <c r="F415" i="14"/>
  <c r="E415" i="14"/>
  <c r="D415" i="14"/>
  <c r="C415" i="14"/>
  <c r="B415" i="14"/>
  <c r="S414" i="14"/>
  <c r="R414" i="14"/>
  <c r="Q414" i="14"/>
  <c r="P414" i="14"/>
  <c r="O414" i="14"/>
  <c r="N414" i="14"/>
  <c r="M414" i="14"/>
  <c r="L414" i="14"/>
  <c r="K414" i="14"/>
  <c r="J414" i="14"/>
  <c r="I414" i="14"/>
  <c r="H414" i="14"/>
  <c r="G414" i="14"/>
  <c r="F414" i="14"/>
  <c r="E414" i="14"/>
  <c r="D414" i="14"/>
  <c r="C414" i="14"/>
  <c r="B414" i="14"/>
  <c r="S413" i="14"/>
  <c r="R413" i="14"/>
  <c r="Q413" i="14"/>
  <c r="P413" i="14"/>
  <c r="O413" i="14"/>
  <c r="N413" i="14"/>
  <c r="M413" i="14"/>
  <c r="L413" i="14"/>
  <c r="K413" i="14"/>
  <c r="J413" i="14"/>
  <c r="I413" i="14"/>
  <c r="H413" i="14"/>
  <c r="G413" i="14"/>
  <c r="F413" i="14"/>
  <c r="E413" i="14"/>
  <c r="D413" i="14"/>
  <c r="C413" i="14"/>
  <c r="B413" i="14"/>
  <c r="S412" i="14"/>
  <c r="R412" i="14"/>
  <c r="Q412" i="14"/>
  <c r="P412" i="14"/>
  <c r="O412" i="14"/>
  <c r="N412" i="14"/>
  <c r="M412" i="14"/>
  <c r="L412" i="14"/>
  <c r="K412" i="14"/>
  <c r="J412" i="14"/>
  <c r="I412" i="14"/>
  <c r="H412" i="14"/>
  <c r="G412" i="14"/>
  <c r="F412" i="14"/>
  <c r="E412" i="14"/>
  <c r="D412" i="14"/>
  <c r="C412" i="14"/>
  <c r="B412" i="14"/>
  <c r="S411" i="14"/>
  <c r="R411" i="14"/>
  <c r="Q411" i="14"/>
  <c r="P411" i="14"/>
  <c r="O411" i="14"/>
  <c r="N411" i="14"/>
  <c r="M411" i="14"/>
  <c r="L411" i="14"/>
  <c r="K411" i="14"/>
  <c r="J411" i="14"/>
  <c r="I411" i="14"/>
  <c r="H411" i="14"/>
  <c r="G411" i="14"/>
  <c r="F411" i="14"/>
  <c r="E411" i="14"/>
  <c r="D411" i="14"/>
  <c r="C411" i="14"/>
  <c r="B411" i="14"/>
  <c r="S410" i="14"/>
  <c r="R410" i="14"/>
  <c r="Q410" i="14"/>
  <c r="P410" i="14"/>
  <c r="O410" i="14"/>
  <c r="N410" i="14"/>
  <c r="M410" i="14"/>
  <c r="L410" i="14"/>
  <c r="K410" i="14"/>
  <c r="J410" i="14"/>
  <c r="I410" i="14"/>
  <c r="H410" i="14"/>
  <c r="G410" i="14"/>
  <c r="F410" i="14"/>
  <c r="E410" i="14"/>
  <c r="D410" i="14"/>
  <c r="C410" i="14"/>
  <c r="B410" i="14"/>
  <c r="S409" i="14"/>
  <c r="R409" i="14"/>
  <c r="Q409" i="14"/>
  <c r="P409" i="14"/>
  <c r="O409" i="14"/>
  <c r="N409" i="14"/>
  <c r="M409" i="14"/>
  <c r="L409" i="14"/>
  <c r="K409" i="14"/>
  <c r="J409" i="14"/>
  <c r="I409" i="14"/>
  <c r="H409" i="14"/>
  <c r="G409" i="14"/>
  <c r="F409" i="14"/>
  <c r="E409" i="14"/>
  <c r="D409" i="14"/>
  <c r="C409" i="14"/>
  <c r="B409" i="14"/>
  <c r="S408" i="14"/>
  <c r="R408" i="14"/>
  <c r="Q408" i="14"/>
  <c r="P408" i="14"/>
  <c r="O408" i="14"/>
  <c r="N408" i="14"/>
  <c r="M408" i="14"/>
  <c r="L408" i="14"/>
  <c r="K408" i="14"/>
  <c r="J408" i="14"/>
  <c r="I408" i="14"/>
  <c r="H408" i="14"/>
  <c r="G408" i="14"/>
  <c r="F408" i="14"/>
  <c r="E408" i="14"/>
  <c r="D408" i="14"/>
  <c r="C408" i="14"/>
  <c r="B408" i="14"/>
  <c r="S407" i="14"/>
  <c r="R407" i="14"/>
  <c r="Q407" i="14"/>
  <c r="P407" i="14"/>
  <c r="O407" i="14"/>
  <c r="N407" i="14"/>
  <c r="M407" i="14"/>
  <c r="L407" i="14"/>
  <c r="K407" i="14"/>
  <c r="J407" i="14"/>
  <c r="I407" i="14"/>
  <c r="H407" i="14"/>
  <c r="G407" i="14"/>
  <c r="F407" i="14"/>
  <c r="E407" i="14"/>
  <c r="D407" i="14"/>
  <c r="C407" i="14"/>
  <c r="B407" i="14"/>
  <c r="S406" i="14"/>
  <c r="R406" i="14"/>
  <c r="Q406" i="14"/>
  <c r="P406" i="14"/>
  <c r="O406" i="14"/>
  <c r="N406" i="14"/>
  <c r="M406" i="14"/>
  <c r="L406" i="14"/>
  <c r="K406" i="14"/>
  <c r="J406" i="14"/>
  <c r="I406" i="14"/>
  <c r="H406" i="14"/>
  <c r="G406" i="14"/>
  <c r="F406" i="14"/>
  <c r="E406" i="14"/>
  <c r="D406" i="14"/>
  <c r="C406" i="14"/>
  <c r="B406" i="14"/>
  <c r="S405" i="14"/>
  <c r="R405" i="14"/>
  <c r="Q405" i="14"/>
  <c r="P405" i="14"/>
  <c r="O405" i="14"/>
  <c r="N405" i="14"/>
  <c r="M405" i="14"/>
  <c r="L405" i="14"/>
  <c r="K405" i="14"/>
  <c r="J405" i="14"/>
  <c r="I405" i="14"/>
  <c r="H405" i="14"/>
  <c r="G405" i="14"/>
  <c r="F405" i="14"/>
  <c r="E405" i="14"/>
  <c r="D405" i="14"/>
  <c r="C405" i="14"/>
  <c r="B405" i="14"/>
  <c r="S404" i="14"/>
  <c r="R404" i="14"/>
  <c r="Q404" i="14"/>
  <c r="P404" i="14"/>
  <c r="O404" i="14"/>
  <c r="N404" i="14"/>
  <c r="M404" i="14"/>
  <c r="L404" i="14"/>
  <c r="K404" i="14"/>
  <c r="J404" i="14"/>
  <c r="I404" i="14"/>
  <c r="H404" i="14"/>
  <c r="G404" i="14"/>
  <c r="F404" i="14"/>
  <c r="E404" i="14"/>
  <c r="D404" i="14"/>
  <c r="C404" i="14"/>
  <c r="B404" i="14"/>
  <c r="S403" i="14"/>
  <c r="R403" i="14"/>
  <c r="Q403" i="14"/>
  <c r="P403" i="14"/>
  <c r="O403" i="14"/>
  <c r="N403" i="14"/>
  <c r="M403" i="14"/>
  <c r="L403" i="14"/>
  <c r="K403" i="14"/>
  <c r="J403" i="14"/>
  <c r="I403" i="14"/>
  <c r="H403" i="14"/>
  <c r="G403" i="14"/>
  <c r="F403" i="14"/>
  <c r="E403" i="14"/>
  <c r="D403" i="14"/>
  <c r="C403" i="14"/>
  <c r="B403" i="14"/>
  <c r="S402" i="14"/>
  <c r="R402" i="14"/>
  <c r="Q402" i="14"/>
  <c r="P402" i="14"/>
  <c r="O402" i="14"/>
  <c r="N402" i="14"/>
  <c r="M402" i="14"/>
  <c r="L402" i="14"/>
  <c r="K402" i="14"/>
  <c r="J402" i="14"/>
  <c r="I402" i="14"/>
  <c r="H402" i="14"/>
  <c r="G402" i="14"/>
  <c r="F402" i="14"/>
  <c r="E402" i="14"/>
  <c r="D402" i="14"/>
  <c r="C402" i="14"/>
  <c r="B402" i="14"/>
  <c r="S401" i="14"/>
  <c r="R401" i="14"/>
  <c r="Q401" i="14"/>
  <c r="P401" i="14"/>
  <c r="O401" i="14"/>
  <c r="N401" i="14"/>
  <c r="M401" i="14"/>
  <c r="L401" i="14"/>
  <c r="K401" i="14"/>
  <c r="J401" i="14"/>
  <c r="I401" i="14"/>
  <c r="H401" i="14"/>
  <c r="G401" i="14"/>
  <c r="F401" i="14"/>
  <c r="E401" i="14"/>
  <c r="D401" i="14"/>
  <c r="C401" i="14"/>
  <c r="B401" i="14"/>
  <c r="S400" i="14"/>
  <c r="R400" i="14"/>
  <c r="Q400" i="14"/>
  <c r="P400" i="14"/>
  <c r="O400" i="14"/>
  <c r="N400" i="14"/>
  <c r="M400" i="14"/>
  <c r="L400" i="14"/>
  <c r="K400" i="14"/>
  <c r="J400" i="14"/>
  <c r="I400" i="14"/>
  <c r="H400" i="14"/>
  <c r="G400" i="14"/>
  <c r="F400" i="14"/>
  <c r="E400" i="14"/>
  <c r="D400" i="14"/>
  <c r="C400" i="14"/>
  <c r="B400" i="14"/>
  <c r="S399" i="14"/>
  <c r="R399" i="14"/>
  <c r="Q399" i="14"/>
  <c r="P399" i="14"/>
  <c r="O399" i="14"/>
  <c r="N399" i="14"/>
  <c r="M399" i="14"/>
  <c r="L399" i="14"/>
  <c r="K399" i="14"/>
  <c r="J399" i="14"/>
  <c r="I399" i="14"/>
  <c r="H399" i="14"/>
  <c r="G399" i="14"/>
  <c r="F399" i="14"/>
  <c r="E399" i="14"/>
  <c r="D399" i="14"/>
  <c r="C399" i="14"/>
  <c r="B399" i="14"/>
  <c r="S398" i="14"/>
  <c r="R398" i="14"/>
  <c r="Q398" i="14"/>
  <c r="P398" i="14"/>
  <c r="O398" i="14"/>
  <c r="N398" i="14"/>
  <c r="M398" i="14"/>
  <c r="L398" i="14"/>
  <c r="K398" i="14"/>
  <c r="J398" i="14"/>
  <c r="I398" i="14"/>
  <c r="H398" i="14"/>
  <c r="G398" i="14"/>
  <c r="F398" i="14"/>
  <c r="E398" i="14"/>
  <c r="D398" i="14"/>
  <c r="C398" i="14"/>
  <c r="B398" i="14"/>
  <c r="S397" i="14"/>
  <c r="R397" i="14"/>
  <c r="Q397" i="14"/>
  <c r="P397" i="14"/>
  <c r="O397" i="14"/>
  <c r="N397" i="14"/>
  <c r="M397" i="14"/>
  <c r="L397" i="14"/>
  <c r="K397" i="14"/>
  <c r="J397" i="14"/>
  <c r="I397" i="14"/>
  <c r="H397" i="14"/>
  <c r="G397" i="14"/>
  <c r="F397" i="14"/>
  <c r="E397" i="14"/>
  <c r="D397" i="14"/>
  <c r="C397" i="14"/>
  <c r="B397" i="14"/>
  <c r="S396" i="14"/>
  <c r="R396" i="14"/>
  <c r="Q396" i="14"/>
  <c r="P396" i="14"/>
  <c r="O396" i="14"/>
  <c r="N396" i="14"/>
  <c r="M396" i="14"/>
  <c r="L396" i="14"/>
  <c r="K396" i="14"/>
  <c r="J396" i="14"/>
  <c r="I396" i="14"/>
  <c r="H396" i="14"/>
  <c r="G396" i="14"/>
  <c r="F396" i="14"/>
  <c r="E396" i="14"/>
  <c r="D396" i="14"/>
  <c r="C396" i="14"/>
  <c r="B396" i="14"/>
  <c r="S395" i="14"/>
  <c r="R395" i="14"/>
  <c r="Q395" i="14"/>
  <c r="P395" i="14"/>
  <c r="O395" i="14"/>
  <c r="N395" i="14"/>
  <c r="M395" i="14"/>
  <c r="L395" i="14"/>
  <c r="K395" i="14"/>
  <c r="J395" i="14"/>
  <c r="I395" i="14"/>
  <c r="H395" i="14"/>
  <c r="G395" i="14"/>
  <c r="F395" i="14"/>
  <c r="E395" i="14"/>
  <c r="D395" i="14"/>
  <c r="C395" i="14"/>
  <c r="B395" i="14"/>
  <c r="S394" i="14"/>
  <c r="R394" i="14"/>
  <c r="Q394" i="14"/>
  <c r="P394" i="14"/>
  <c r="O394" i="14"/>
  <c r="N394" i="14"/>
  <c r="M394" i="14"/>
  <c r="L394" i="14"/>
  <c r="K394" i="14"/>
  <c r="J394" i="14"/>
  <c r="I394" i="14"/>
  <c r="H394" i="14"/>
  <c r="G394" i="14"/>
  <c r="F394" i="14"/>
  <c r="E394" i="14"/>
  <c r="D394" i="14"/>
  <c r="C394" i="14"/>
  <c r="B394" i="14"/>
  <c r="S393" i="14"/>
  <c r="R393" i="14"/>
  <c r="Q393" i="14"/>
  <c r="P393" i="14"/>
  <c r="O393" i="14"/>
  <c r="N393" i="14"/>
  <c r="M393" i="14"/>
  <c r="L393" i="14"/>
  <c r="K393" i="14"/>
  <c r="J393" i="14"/>
  <c r="I393" i="14"/>
  <c r="H393" i="14"/>
  <c r="G393" i="14"/>
  <c r="F393" i="14"/>
  <c r="E393" i="14"/>
  <c r="D393" i="14"/>
  <c r="C393" i="14"/>
  <c r="B393" i="14"/>
  <c r="S392" i="14"/>
  <c r="R392" i="14"/>
  <c r="Q392" i="14"/>
  <c r="P392" i="14"/>
  <c r="O392" i="14"/>
  <c r="N392" i="14"/>
  <c r="M392" i="14"/>
  <c r="L392" i="14"/>
  <c r="K392" i="14"/>
  <c r="J392" i="14"/>
  <c r="I392" i="14"/>
  <c r="H392" i="14"/>
  <c r="G392" i="14"/>
  <c r="F392" i="14"/>
  <c r="E392" i="14"/>
  <c r="D392" i="14"/>
  <c r="C392" i="14"/>
  <c r="B392" i="14"/>
  <c r="S391" i="14"/>
  <c r="R391" i="14"/>
  <c r="Q391" i="14"/>
  <c r="P391" i="14"/>
  <c r="O391" i="14"/>
  <c r="N391" i="14"/>
  <c r="M391" i="14"/>
  <c r="L391" i="14"/>
  <c r="K391" i="14"/>
  <c r="J391" i="14"/>
  <c r="I391" i="14"/>
  <c r="H391" i="14"/>
  <c r="G391" i="14"/>
  <c r="F391" i="14"/>
  <c r="E391" i="14"/>
  <c r="D391" i="14"/>
  <c r="C391" i="14"/>
  <c r="B391" i="14"/>
  <c r="S390" i="14"/>
  <c r="R390" i="14"/>
  <c r="Q390" i="14"/>
  <c r="P390" i="14"/>
  <c r="O390" i="14"/>
  <c r="N390" i="14"/>
  <c r="M390" i="14"/>
  <c r="L390" i="14"/>
  <c r="K390" i="14"/>
  <c r="J390" i="14"/>
  <c r="I390" i="14"/>
  <c r="H390" i="14"/>
  <c r="G390" i="14"/>
  <c r="F390" i="14"/>
  <c r="E390" i="14"/>
  <c r="D390" i="14"/>
  <c r="C390" i="14"/>
  <c r="B390" i="14"/>
  <c r="S389" i="14"/>
  <c r="R389" i="14"/>
  <c r="Q389" i="14"/>
  <c r="P389" i="14"/>
  <c r="O389" i="14"/>
  <c r="N389" i="14"/>
  <c r="M389" i="14"/>
  <c r="L389" i="14"/>
  <c r="K389" i="14"/>
  <c r="J389" i="14"/>
  <c r="I389" i="14"/>
  <c r="H389" i="14"/>
  <c r="G389" i="14"/>
  <c r="F389" i="14"/>
  <c r="E389" i="14"/>
  <c r="D389" i="14"/>
  <c r="C389" i="14"/>
  <c r="B389" i="14"/>
  <c r="S388" i="14"/>
  <c r="R388" i="14"/>
  <c r="Q388" i="14"/>
  <c r="P388" i="14"/>
  <c r="O388" i="14"/>
  <c r="N388" i="14"/>
  <c r="M388" i="14"/>
  <c r="L388" i="14"/>
  <c r="K388" i="14"/>
  <c r="J388" i="14"/>
  <c r="I388" i="14"/>
  <c r="H388" i="14"/>
  <c r="G388" i="14"/>
  <c r="F388" i="14"/>
  <c r="E388" i="14"/>
  <c r="D388" i="14"/>
  <c r="C388" i="14"/>
  <c r="B388" i="14"/>
  <c r="S387" i="14"/>
  <c r="R387" i="14"/>
  <c r="Q387" i="14"/>
  <c r="P387" i="14"/>
  <c r="O387" i="14"/>
  <c r="N387" i="14"/>
  <c r="M387" i="14"/>
  <c r="L387" i="14"/>
  <c r="K387" i="14"/>
  <c r="J387" i="14"/>
  <c r="I387" i="14"/>
  <c r="H387" i="14"/>
  <c r="G387" i="14"/>
  <c r="F387" i="14"/>
  <c r="E387" i="14"/>
  <c r="D387" i="14"/>
  <c r="C387" i="14"/>
  <c r="B387" i="14"/>
  <c r="S386" i="14"/>
  <c r="R386" i="14"/>
  <c r="Q386" i="14"/>
  <c r="P386" i="14"/>
  <c r="O386" i="14"/>
  <c r="N386" i="14"/>
  <c r="M386" i="14"/>
  <c r="L386" i="14"/>
  <c r="K386" i="14"/>
  <c r="J386" i="14"/>
  <c r="I386" i="14"/>
  <c r="H386" i="14"/>
  <c r="G386" i="14"/>
  <c r="F386" i="14"/>
  <c r="E386" i="14"/>
  <c r="D386" i="14"/>
  <c r="C386" i="14"/>
  <c r="B386" i="14"/>
  <c r="S385" i="14"/>
  <c r="R385" i="14"/>
  <c r="Q385" i="14"/>
  <c r="P385" i="14"/>
  <c r="O385" i="14"/>
  <c r="N385" i="14"/>
  <c r="M385" i="14"/>
  <c r="L385" i="14"/>
  <c r="K385" i="14"/>
  <c r="J385" i="14"/>
  <c r="I385" i="14"/>
  <c r="H385" i="14"/>
  <c r="G385" i="14"/>
  <c r="F385" i="14"/>
  <c r="E385" i="14"/>
  <c r="D385" i="14"/>
  <c r="C385" i="14"/>
  <c r="B385" i="14"/>
  <c r="S384" i="14"/>
  <c r="R384" i="14"/>
  <c r="Q384" i="14"/>
  <c r="P384" i="14"/>
  <c r="O384" i="14"/>
  <c r="N384" i="14"/>
  <c r="M384" i="14"/>
  <c r="L384" i="14"/>
  <c r="K384" i="14"/>
  <c r="J384" i="14"/>
  <c r="I384" i="14"/>
  <c r="H384" i="14"/>
  <c r="G384" i="14"/>
  <c r="F384" i="14"/>
  <c r="E384" i="14"/>
  <c r="D384" i="14"/>
  <c r="C384" i="14"/>
  <c r="B384" i="14"/>
  <c r="S383" i="14"/>
  <c r="R383" i="14"/>
  <c r="Q383" i="14"/>
  <c r="P383" i="14"/>
  <c r="O383" i="14"/>
  <c r="N383" i="14"/>
  <c r="M383" i="14"/>
  <c r="L383" i="14"/>
  <c r="K383" i="14"/>
  <c r="J383" i="14"/>
  <c r="I383" i="14"/>
  <c r="H383" i="14"/>
  <c r="G383" i="14"/>
  <c r="F383" i="14"/>
  <c r="E383" i="14"/>
  <c r="D383" i="14"/>
  <c r="C383" i="14"/>
  <c r="B383" i="14"/>
  <c r="S382" i="14"/>
  <c r="R382" i="14"/>
  <c r="Q382" i="14"/>
  <c r="P382" i="14"/>
  <c r="O382" i="14"/>
  <c r="N382" i="14"/>
  <c r="M382" i="14"/>
  <c r="L382" i="14"/>
  <c r="K382" i="14"/>
  <c r="J382" i="14"/>
  <c r="I382" i="14"/>
  <c r="H382" i="14"/>
  <c r="G382" i="14"/>
  <c r="F382" i="14"/>
  <c r="E382" i="14"/>
  <c r="D382" i="14"/>
  <c r="C382" i="14"/>
  <c r="B382" i="14"/>
  <c r="S381" i="14"/>
  <c r="R381" i="14"/>
  <c r="Q381" i="14"/>
  <c r="P381" i="14"/>
  <c r="O381" i="14"/>
  <c r="N381" i="14"/>
  <c r="M381" i="14"/>
  <c r="L381" i="14"/>
  <c r="K381" i="14"/>
  <c r="J381" i="14"/>
  <c r="I381" i="14"/>
  <c r="H381" i="14"/>
  <c r="G381" i="14"/>
  <c r="F381" i="14"/>
  <c r="E381" i="14"/>
  <c r="D381" i="14"/>
  <c r="C381" i="14"/>
  <c r="B381" i="14"/>
  <c r="S380" i="14"/>
  <c r="R380" i="14"/>
  <c r="Q380" i="14"/>
  <c r="P380" i="14"/>
  <c r="O380" i="14"/>
  <c r="N380" i="14"/>
  <c r="M380" i="14"/>
  <c r="L380" i="14"/>
  <c r="K380" i="14"/>
  <c r="J380" i="14"/>
  <c r="I380" i="14"/>
  <c r="H380" i="14"/>
  <c r="G380" i="14"/>
  <c r="F380" i="14"/>
  <c r="E380" i="14"/>
  <c r="D380" i="14"/>
  <c r="C380" i="14"/>
  <c r="B380" i="14"/>
  <c r="S379" i="14"/>
  <c r="R379" i="14"/>
  <c r="Q379" i="14"/>
  <c r="P379" i="14"/>
  <c r="O379" i="14"/>
  <c r="N379" i="14"/>
  <c r="M379" i="14"/>
  <c r="L379" i="14"/>
  <c r="K379" i="14"/>
  <c r="J379" i="14"/>
  <c r="I379" i="14"/>
  <c r="H379" i="14"/>
  <c r="G379" i="14"/>
  <c r="F379" i="14"/>
  <c r="E379" i="14"/>
  <c r="D379" i="14"/>
  <c r="C379" i="14"/>
  <c r="B379" i="14"/>
  <c r="S378" i="14"/>
  <c r="R378" i="14"/>
  <c r="Q378" i="14"/>
  <c r="P378" i="14"/>
  <c r="O378" i="14"/>
  <c r="N378" i="14"/>
  <c r="M378" i="14"/>
  <c r="L378" i="14"/>
  <c r="K378" i="14"/>
  <c r="J378" i="14"/>
  <c r="I378" i="14"/>
  <c r="H378" i="14"/>
  <c r="G378" i="14"/>
  <c r="F378" i="14"/>
  <c r="E378" i="14"/>
  <c r="D378" i="14"/>
  <c r="C378" i="14"/>
  <c r="B378" i="14"/>
  <c r="S377" i="14"/>
  <c r="R377" i="14"/>
  <c r="Q377" i="14"/>
  <c r="P377" i="14"/>
  <c r="O377" i="14"/>
  <c r="N377" i="14"/>
  <c r="M377" i="14"/>
  <c r="L377" i="14"/>
  <c r="K377" i="14"/>
  <c r="J377" i="14"/>
  <c r="I377" i="14"/>
  <c r="H377" i="14"/>
  <c r="G377" i="14"/>
  <c r="F377" i="14"/>
  <c r="E377" i="14"/>
  <c r="D377" i="14"/>
  <c r="C377" i="14"/>
  <c r="B377" i="14"/>
  <c r="S376" i="14"/>
  <c r="R376" i="14"/>
  <c r="Q376" i="14"/>
  <c r="P376" i="14"/>
  <c r="O376" i="14"/>
  <c r="N376" i="14"/>
  <c r="M376" i="14"/>
  <c r="L376" i="14"/>
  <c r="K376" i="14"/>
  <c r="J376" i="14"/>
  <c r="I376" i="14"/>
  <c r="H376" i="14"/>
  <c r="G376" i="14"/>
  <c r="F376" i="14"/>
  <c r="E376" i="14"/>
  <c r="D376" i="14"/>
  <c r="C376" i="14"/>
  <c r="B376" i="14"/>
  <c r="S375" i="14"/>
  <c r="R375" i="14"/>
  <c r="Q375" i="14"/>
  <c r="P375" i="14"/>
  <c r="O375" i="14"/>
  <c r="N375" i="14"/>
  <c r="M375" i="14"/>
  <c r="L375" i="14"/>
  <c r="K375" i="14"/>
  <c r="J375" i="14"/>
  <c r="I375" i="14"/>
  <c r="H375" i="14"/>
  <c r="G375" i="14"/>
  <c r="F375" i="14"/>
  <c r="E375" i="14"/>
  <c r="D375" i="14"/>
  <c r="C375" i="14"/>
  <c r="B375" i="14"/>
  <c r="S374" i="14"/>
  <c r="R374" i="14"/>
  <c r="Q374" i="14"/>
  <c r="P374" i="14"/>
  <c r="O374" i="14"/>
  <c r="N374" i="14"/>
  <c r="M374" i="14"/>
  <c r="L374" i="14"/>
  <c r="K374" i="14"/>
  <c r="J374" i="14"/>
  <c r="I374" i="14"/>
  <c r="H374" i="14"/>
  <c r="G374" i="14"/>
  <c r="F374" i="14"/>
  <c r="E374" i="14"/>
  <c r="D374" i="14"/>
  <c r="C374" i="14"/>
  <c r="B374" i="14"/>
  <c r="S373" i="14"/>
  <c r="R373" i="14"/>
  <c r="Q373" i="14"/>
  <c r="P373" i="14"/>
  <c r="O373" i="14"/>
  <c r="N373" i="14"/>
  <c r="M373" i="14"/>
  <c r="L373" i="14"/>
  <c r="K373" i="14"/>
  <c r="J373" i="14"/>
  <c r="I373" i="14"/>
  <c r="H373" i="14"/>
  <c r="G373" i="14"/>
  <c r="F373" i="14"/>
  <c r="E373" i="14"/>
  <c r="D373" i="14"/>
  <c r="C373" i="14"/>
  <c r="B373" i="14"/>
  <c r="S372" i="14"/>
  <c r="R372" i="14"/>
  <c r="Q372" i="14"/>
  <c r="P372" i="14"/>
  <c r="O372" i="14"/>
  <c r="N372" i="14"/>
  <c r="M372" i="14"/>
  <c r="L372" i="14"/>
  <c r="K372" i="14"/>
  <c r="J372" i="14"/>
  <c r="I372" i="14"/>
  <c r="H372" i="14"/>
  <c r="G372" i="14"/>
  <c r="F372" i="14"/>
  <c r="E372" i="14"/>
  <c r="D372" i="14"/>
  <c r="C372" i="14"/>
  <c r="B372" i="14"/>
  <c r="S371" i="14"/>
  <c r="R371" i="14"/>
  <c r="Q371" i="14"/>
  <c r="P371" i="14"/>
  <c r="O371" i="14"/>
  <c r="N371" i="14"/>
  <c r="M371" i="14"/>
  <c r="L371" i="14"/>
  <c r="K371" i="14"/>
  <c r="J371" i="14"/>
  <c r="I371" i="14"/>
  <c r="H371" i="14"/>
  <c r="G371" i="14"/>
  <c r="F371" i="14"/>
  <c r="E371" i="14"/>
  <c r="D371" i="14"/>
  <c r="C371" i="14"/>
  <c r="B371" i="14"/>
  <c r="S370" i="14"/>
  <c r="R370" i="14"/>
  <c r="Q370" i="14"/>
  <c r="P370" i="14"/>
  <c r="O370" i="14"/>
  <c r="N370" i="14"/>
  <c r="M370" i="14"/>
  <c r="L370" i="14"/>
  <c r="K370" i="14"/>
  <c r="J370" i="14"/>
  <c r="I370" i="14"/>
  <c r="H370" i="14"/>
  <c r="G370" i="14"/>
  <c r="F370" i="14"/>
  <c r="E370" i="14"/>
  <c r="D370" i="14"/>
  <c r="C370" i="14"/>
  <c r="B370" i="14"/>
  <c r="S369" i="14"/>
  <c r="R369" i="14"/>
  <c r="Q369" i="14"/>
  <c r="P369" i="14"/>
  <c r="O369" i="14"/>
  <c r="N369" i="14"/>
  <c r="M369" i="14"/>
  <c r="L369" i="14"/>
  <c r="K369" i="14"/>
  <c r="J369" i="14"/>
  <c r="I369" i="14"/>
  <c r="H369" i="14"/>
  <c r="G369" i="14"/>
  <c r="F369" i="14"/>
  <c r="E369" i="14"/>
  <c r="D369" i="14"/>
  <c r="C369" i="14"/>
  <c r="B369" i="14"/>
  <c r="S368" i="14"/>
  <c r="R368" i="14"/>
  <c r="Q368" i="14"/>
  <c r="P368" i="14"/>
  <c r="O368" i="14"/>
  <c r="N368" i="14"/>
  <c r="M368" i="14"/>
  <c r="L368" i="14"/>
  <c r="K368" i="14"/>
  <c r="J368" i="14"/>
  <c r="I368" i="14"/>
  <c r="H368" i="14"/>
  <c r="G368" i="14"/>
  <c r="F368" i="14"/>
  <c r="E368" i="14"/>
  <c r="D368" i="14"/>
  <c r="C368" i="14"/>
  <c r="B368" i="14"/>
  <c r="S367" i="14"/>
  <c r="R367" i="14"/>
  <c r="Q367" i="14"/>
  <c r="P367" i="14"/>
  <c r="O367" i="14"/>
  <c r="N367" i="14"/>
  <c r="M367" i="14"/>
  <c r="L367" i="14"/>
  <c r="K367" i="14"/>
  <c r="J367" i="14"/>
  <c r="I367" i="14"/>
  <c r="H367" i="14"/>
  <c r="G367" i="14"/>
  <c r="F367" i="14"/>
  <c r="E367" i="14"/>
  <c r="D367" i="14"/>
  <c r="C367" i="14"/>
  <c r="B367" i="14"/>
  <c r="S366" i="14"/>
  <c r="R366" i="14"/>
  <c r="Q366" i="14"/>
  <c r="P366" i="14"/>
  <c r="O366" i="14"/>
  <c r="N366" i="14"/>
  <c r="M366" i="14"/>
  <c r="L366" i="14"/>
  <c r="K366" i="14"/>
  <c r="J366" i="14"/>
  <c r="I366" i="14"/>
  <c r="H366" i="14"/>
  <c r="G366" i="14"/>
  <c r="F366" i="14"/>
  <c r="E366" i="14"/>
  <c r="D366" i="14"/>
  <c r="C366" i="14"/>
  <c r="B366" i="14"/>
  <c r="S365" i="14"/>
  <c r="R365" i="14"/>
  <c r="Q365" i="14"/>
  <c r="P365" i="14"/>
  <c r="O365" i="14"/>
  <c r="N365" i="14"/>
  <c r="M365" i="14"/>
  <c r="L365" i="14"/>
  <c r="K365" i="14"/>
  <c r="J365" i="14"/>
  <c r="I365" i="14"/>
  <c r="H365" i="14"/>
  <c r="G365" i="14"/>
  <c r="F365" i="14"/>
  <c r="E365" i="14"/>
  <c r="D365" i="14"/>
  <c r="C365" i="14"/>
  <c r="B365" i="14"/>
  <c r="S364" i="14"/>
  <c r="R364" i="14"/>
  <c r="Q364" i="14"/>
  <c r="P364" i="14"/>
  <c r="O364" i="14"/>
  <c r="N364" i="14"/>
  <c r="M364" i="14"/>
  <c r="L364" i="14"/>
  <c r="K364" i="14"/>
  <c r="J364" i="14"/>
  <c r="I364" i="14"/>
  <c r="H364" i="14"/>
  <c r="G364" i="14"/>
  <c r="F364" i="14"/>
  <c r="E364" i="14"/>
  <c r="D364" i="14"/>
  <c r="C364" i="14"/>
  <c r="B364" i="14"/>
  <c r="S363" i="14"/>
  <c r="R363" i="14"/>
  <c r="Q363" i="14"/>
  <c r="P363" i="14"/>
  <c r="O363" i="14"/>
  <c r="N363" i="14"/>
  <c r="M363" i="14"/>
  <c r="L363" i="14"/>
  <c r="K363" i="14"/>
  <c r="J363" i="14"/>
  <c r="I363" i="14"/>
  <c r="H363" i="14"/>
  <c r="G363" i="14"/>
  <c r="F363" i="14"/>
  <c r="E363" i="14"/>
  <c r="D363" i="14"/>
  <c r="C363" i="14"/>
  <c r="B363" i="14"/>
  <c r="S362" i="14"/>
  <c r="R362" i="14"/>
  <c r="Q362" i="14"/>
  <c r="P362" i="14"/>
  <c r="O362" i="14"/>
  <c r="N362" i="14"/>
  <c r="M362" i="14"/>
  <c r="L362" i="14"/>
  <c r="K362" i="14"/>
  <c r="J362" i="14"/>
  <c r="I362" i="14"/>
  <c r="H362" i="14"/>
  <c r="G362" i="14"/>
  <c r="F362" i="14"/>
  <c r="E362" i="14"/>
  <c r="D362" i="14"/>
  <c r="C362" i="14"/>
  <c r="B362" i="14"/>
  <c r="S361" i="14"/>
  <c r="R361" i="14"/>
  <c r="Q361" i="14"/>
  <c r="P361" i="14"/>
  <c r="O361" i="14"/>
  <c r="N361" i="14"/>
  <c r="M361" i="14"/>
  <c r="L361" i="14"/>
  <c r="K361" i="14"/>
  <c r="J361" i="14"/>
  <c r="I361" i="14"/>
  <c r="H361" i="14"/>
  <c r="G361" i="14"/>
  <c r="F361" i="14"/>
  <c r="E361" i="14"/>
  <c r="D361" i="14"/>
  <c r="C361" i="14"/>
  <c r="B361" i="14"/>
  <c r="S360" i="14"/>
  <c r="R360" i="14"/>
  <c r="Q360" i="14"/>
  <c r="P360" i="14"/>
  <c r="O360" i="14"/>
  <c r="N360" i="14"/>
  <c r="M360" i="14"/>
  <c r="L360" i="14"/>
  <c r="K360" i="14"/>
  <c r="J360" i="14"/>
  <c r="I360" i="14"/>
  <c r="H360" i="14"/>
  <c r="G360" i="14"/>
  <c r="F360" i="14"/>
  <c r="E360" i="14"/>
  <c r="D360" i="14"/>
  <c r="C360" i="14"/>
  <c r="B360" i="14"/>
  <c r="S359" i="14"/>
  <c r="R359" i="14"/>
  <c r="Q359" i="14"/>
  <c r="P359" i="14"/>
  <c r="O359" i="14"/>
  <c r="N359" i="14"/>
  <c r="M359" i="14"/>
  <c r="L359" i="14"/>
  <c r="K359" i="14"/>
  <c r="J359" i="14"/>
  <c r="I359" i="14"/>
  <c r="H359" i="14"/>
  <c r="G359" i="14"/>
  <c r="F359" i="14"/>
  <c r="E359" i="14"/>
  <c r="D359" i="14"/>
  <c r="C359" i="14"/>
  <c r="B359" i="14"/>
  <c r="S358" i="14"/>
  <c r="R358" i="14"/>
  <c r="Q358" i="14"/>
  <c r="P358" i="14"/>
  <c r="O358" i="14"/>
  <c r="N358" i="14"/>
  <c r="M358" i="14"/>
  <c r="L358" i="14"/>
  <c r="K358" i="14"/>
  <c r="J358" i="14"/>
  <c r="I358" i="14"/>
  <c r="H358" i="14"/>
  <c r="G358" i="14"/>
  <c r="F358" i="14"/>
  <c r="E358" i="14"/>
  <c r="D358" i="14"/>
  <c r="C358" i="14"/>
  <c r="B358" i="14"/>
  <c r="S357" i="14"/>
  <c r="R357" i="14"/>
  <c r="Q357" i="14"/>
  <c r="P357" i="14"/>
  <c r="O357" i="14"/>
  <c r="N357" i="14"/>
  <c r="M357" i="14"/>
  <c r="L357" i="14"/>
  <c r="K357" i="14"/>
  <c r="J357" i="14"/>
  <c r="I357" i="14"/>
  <c r="H357" i="14"/>
  <c r="G357" i="14"/>
  <c r="F357" i="14"/>
  <c r="E357" i="14"/>
  <c r="D357" i="14"/>
  <c r="C357" i="14"/>
  <c r="B357" i="14"/>
  <c r="S356" i="14"/>
  <c r="R356" i="14"/>
  <c r="Q356" i="14"/>
  <c r="P356" i="14"/>
  <c r="O356" i="14"/>
  <c r="N356" i="14"/>
  <c r="M356" i="14"/>
  <c r="L356" i="14"/>
  <c r="K356" i="14"/>
  <c r="J356" i="14"/>
  <c r="I356" i="14"/>
  <c r="H356" i="14"/>
  <c r="G356" i="14"/>
  <c r="F356" i="14"/>
  <c r="E356" i="14"/>
  <c r="D356" i="14"/>
  <c r="C356" i="14"/>
  <c r="B356" i="14"/>
  <c r="S355" i="14"/>
  <c r="R355" i="14"/>
  <c r="Q355" i="14"/>
  <c r="P355" i="14"/>
  <c r="O355" i="14"/>
  <c r="N355" i="14"/>
  <c r="M355" i="14"/>
  <c r="L355" i="14"/>
  <c r="K355" i="14"/>
  <c r="J355" i="14"/>
  <c r="I355" i="14"/>
  <c r="H355" i="14"/>
  <c r="G355" i="14"/>
  <c r="F355" i="14"/>
  <c r="E355" i="14"/>
  <c r="D355" i="14"/>
  <c r="C355" i="14"/>
  <c r="B355" i="14"/>
  <c r="S354" i="14"/>
  <c r="R354" i="14"/>
  <c r="Q354" i="14"/>
  <c r="P354" i="14"/>
  <c r="O354" i="14"/>
  <c r="N354" i="14"/>
  <c r="M354" i="14"/>
  <c r="L354" i="14"/>
  <c r="K354" i="14"/>
  <c r="J354" i="14"/>
  <c r="I354" i="14"/>
  <c r="H354" i="14"/>
  <c r="G354" i="14"/>
  <c r="F354" i="14"/>
  <c r="E354" i="14"/>
  <c r="D354" i="14"/>
  <c r="C354" i="14"/>
  <c r="B354" i="14"/>
  <c r="S353" i="14"/>
  <c r="R353" i="14"/>
  <c r="Q353" i="14"/>
  <c r="P353" i="14"/>
  <c r="O353" i="14"/>
  <c r="N353" i="14"/>
  <c r="M353" i="14"/>
  <c r="L353" i="14"/>
  <c r="K353" i="14"/>
  <c r="J353" i="14"/>
  <c r="I353" i="14"/>
  <c r="H353" i="14"/>
  <c r="G353" i="14"/>
  <c r="F353" i="14"/>
  <c r="E353" i="14"/>
  <c r="D353" i="14"/>
  <c r="C353" i="14"/>
  <c r="B353" i="14"/>
  <c r="S352" i="14"/>
  <c r="R352" i="14"/>
  <c r="Q352" i="14"/>
  <c r="P352" i="14"/>
  <c r="O352" i="14"/>
  <c r="N352" i="14"/>
  <c r="M352" i="14"/>
  <c r="L352" i="14"/>
  <c r="K352" i="14"/>
  <c r="J352" i="14"/>
  <c r="I352" i="14"/>
  <c r="H352" i="14"/>
  <c r="G352" i="14"/>
  <c r="F352" i="14"/>
  <c r="E352" i="14"/>
  <c r="D352" i="14"/>
  <c r="C352" i="14"/>
  <c r="B352" i="14"/>
  <c r="S351" i="14"/>
  <c r="R351" i="14"/>
  <c r="Q351" i="14"/>
  <c r="P351" i="14"/>
  <c r="O351" i="14"/>
  <c r="N351" i="14"/>
  <c r="M351" i="14"/>
  <c r="L351" i="14"/>
  <c r="K351" i="14"/>
  <c r="J351" i="14"/>
  <c r="I351" i="14"/>
  <c r="H351" i="14"/>
  <c r="G351" i="14"/>
  <c r="F351" i="14"/>
  <c r="E351" i="14"/>
  <c r="D351" i="14"/>
  <c r="C351" i="14"/>
  <c r="B351" i="14"/>
  <c r="S350" i="14"/>
  <c r="R350" i="14"/>
  <c r="Q350" i="14"/>
  <c r="P350" i="14"/>
  <c r="O350" i="14"/>
  <c r="N350" i="14"/>
  <c r="M350" i="14"/>
  <c r="L350" i="14"/>
  <c r="K350" i="14"/>
  <c r="J350" i="14"/>
  <c r="I350" i="14"/>
  <c r="H350" i="14"/>
  <c r="G350" i="14"/>
  <c r="F350" i="14"/>
  <c r="E350" i="14"/>
  <c r="D350" i="14"/>
  <c r="C350" i="14"/>
  <c r="B350" i="14"/>
  <c r="S349" i="14"/>
  <c r="R349" i="14"/>
  <c r="Q349" i="14"/>
  <c r="P349" i="14"/>
  <c r="O349" i="14"/>
  <c r="N349" i="14"/>
  <c r="M349" i="14"/>
  <c r="L349" i="14"/>
  <c r="K349" i="14"/>
  <c r="J349" i="14"/>
  <c r="I349" i="14"/>
  <c r="H349" i="14"/>
  <c r="G349" i="14"/>
  <c r="F349" i="14"/>
  <c r="E349" i="14"/>
  <c r="D349" i="14"/>
  <c r="C349" i="14"/>
  <c r="B349" i="14"/>
  <c r="S348" i="14"/>
  <c r="R348" i="14"/>
  <c r="Q348" i="14"/>
  <c r="P348" i="14"/>
  <c r="O348" i="14"/>
  <c r="N348" i="14"/>
  <c r="M348" i="14"/>
  <c r="L348" i="14"/>
  <c r="K348" i="14"/>
  <c r="J348" i="14"/>
  <c r="I348" i="14"/>
  <c r="H348" i="14"/>
  <c r="G348" i="14"/>
  <c r="F348" i="14"/>
  <c r="E348" i="14"/>
  <c r="D348" i="14"/>
  <c r="C348" i="14"/>
  <c r="B348" i="14"/>
  <c r="S347" i="14"/>
  <c r="R347" i="14"/>
  <c r="Q347" i="14"/>
  <c r="P347" i="14"/>
  <c r="O347" i="14"/>
  <c r="N347" i="14"/>
  <c r="M347" i="14"/>
  <c r="L347" i="14"/>
  <c r="K347" i="14"/>
  <c r="J347" i="14"/>
  <c r="I347" i="14"/>
  <c r="H347" i="14"/>
  <c r="G347" i="14"/>
  <c r="F347" i="14"/>
  <c r="E347" i="14"/>
  <c r="D347" i="14"/>
  <c r="C347" i="14"/>
  <c r="B347" i="14"/>
  <c r="S346" i="14"/>
  <c r="R346" i="14"/>
  <c r="Q346" i="14"/>
  <c r="P346" i="14"/>
  <c r="O346" i="14"/>
  <c r="N346" i="14"/>
  <c r="M346" i="14"/>
  <c r="L346" i="14"/>
  <c r="K346" i="14"/>
  <c r="J346" i="14"/>
  <c r="I346" i="14"/>
  <c r="H346" i="14"/>
  <c r="G346" i="14"/>
  <c r="F346" i="14"/>
  <c r="E346" i="14"/>
  <c r="D346" i="14"/>
  <c r="C346" i="14"/>
  <c r="B346" i="14"/>
  <c r="S345" i="14"/>
  <c r="R345" i="14"/>
  <c r="Q345" i="14"/>
  <c r="P345" i="14"/>
  <c r="O345" i="14"/>
  <c r="N345" i="14"/>
  <c r="M345" i="14"/>
  <c r="L345" i="14"/>
  <c r="K345" i="14"/>
  <c r="J345" i="14"/>
  <c r="I345" i="14"/>
  <c r="H345" i="14"/>
  <c r="G345" i="14"/>
  <c r="F345" i="14"/>
  <c r="E345" i="14"/>
  <c r="D345" i="14"/>
  <c r="C345" i="14"/>
  <c r="B345" i="14"/>
  <c r="S344" i="14"/>
  <c r="R344" i="14"/>
  <c r="Q344" i="14"/>
  <c r="P344" i="14"/>
  <c r="O344" i="14"/>
  <c r="N344" i="14"/>
  <c r="M344" i="14"/>
  <c r="L344" i="14"/>
  <c r="K344" i="14"/>
  <c r="J344" i="14"/>
  <c r="I344" i="14"/>
  <c r="H344" i="14"/>
  <c r="G344" i="14"/>
  <c r="F344" i="14"/>
  <c r="E344" i="14"/>
  <c r="D344" i="14"/>
  <c r="C344" i="14"/>
  <c r="B344" i="14"/>
  <c r="S343" i="14"/>
  <c r="R343" i="14"/>
  <c r="Q343" i="14"/>
  <c r="P343" i="14"/>
  <c r="O343" i="14"/>
  <c r="N343" i="14"/>
  <c r="M343" i="14"/>
  <c r="L343" i="14"/>
  <c r="K343" i="14"/>
  <c r="J343" i="14"/>
  <c r="I343" i="14"/>
  <c r="H343" i="14"/>
  <c r="G343" i="14"/>
  <c r="F343" i="14"/>
  <c r="E343" i="14"/>
  <c r="D343" i="14"/>
  <c r="C343" i="14"/>
  <c r="B343" i="14"/>
  <c r="S342" i="14"/>
  <c r="R342" i="14"/>
  <c r="Q342" i="14"/>
  <c r="P342" i="14"/>
  <c r="O342" i="14"/>
  <c r="N342" i="14"/>
  <c r="M342" i="14"/>
  <c r="L342" i="14"/>
  <c r="K342" i="14"/>
  <c r="J342" i="14"/>
  <c r="I342" i="14"/>
  <c r="H342" i="14"/>
  <c r="G342" i="14"/>
  <c r="F342" i="14"/>
  <c r="E342" i="14"/>
  <c r="D342" i="14"/>
  <c r="C342" i="14"/>
  <c r="B342" i="14"/>
  <c r="S341" i="14"/>
  <c r="R341" i="14"/>
  <c r="Q341" i="14"/>
  <c r="P341" i="14"/>
  <c r="O341" i="14"/>
  <c r="N341" i="14"/>
  <c r="M341" i="14"/>
  <c r="L341" i="14"/>
  <c r="K341" i="14"/>
  <c r="J341" i="14"/>
  <c r="I341" i="14"/>
  <c r="H341" i="14"/>
  <c r="G341" i="14"/>
  <c r="F341" i="14"/>
  <c r="E341" i="14"/>
  <c r="D341" i="14"/>
  <c r="C341" i="14"/>
  <c r="B341" i="14"/>
  <c r="S340" i="14"/>
  <c r="R340" i="14"/>
  <c r="Q340" i="14"/>
  <c r="P340" i="14"/>
  <c r="O340" i="14"/>
  <c r="N340" i="14"/>
  <c r="M340" i="14"/>
  <c r="L340" i="14"/>
  <c r="K340" i="14"/>
  <c r="J340" i="14"/>
  <c r="I340" i="14"/>
  <c r="H340" i="14"/>
  <c r="G340" i="14"/>
  <c r="F340" i="14"/>
  <c r="E340" i="14"/>
  <c r="D340" i="14"/>
  <c r="C340" i="14"/>
  <c r="B340" i="14"/>
  <c r="S339" i="14"/>
  <c r="R339" i="14"/>
  <c r="Q339" i="14"/>
  <c r="P339" i="14"/>
  <c r="O339" i="14"/>
  <c r="N339" i="14"/>
  <c r="M339" i="14"/>
  <c r="L339" i="14"/>
  <c r="K339" i="14"/>
  <c r="J339" i="14"/>
  <c r="I339" i="14"/>
  <c r="H339" i="14"/>
  <c r="G339" i="14"/>
  <c r="F339" i="14"/>
  <c r="E339" i="14"/>
  <c r="D339" i="14"/>
  <c r="C339" i="14"/>
  <c r="B339" i="14"/>
  <c r="S338" i="14"/>
  <c r="R338" i="14"/>
  <c r="Q338" i="14"/>
  <c r="P338" i="14"/>
  <c r="O338" i="14"/>
  <c r="N338" i="14"/>
  <c r="M338" i="14"/>
  <c r="L338" i="14"/>
  <c r="K338" i="14"/>
  <c r="J338" i="14"/>
  <c r="I338" i="14"/>
  <c r="H338" i="14"/>
  <c r="G338" i="14"/>
  <c r="F338" i="14"/>
  <c r="E338" i="14"/>
  <c r="D338" i="14"/>
  <c r="C338" i="14"/>
  <c r="B338" i="14"/>
  <c r="S337" i="14"/>
  <c r="R337" i="14"/>
  <c r="Q337" i="14"/>
  <c r="P337" i="14"/>
  <c r="O337" i="14"/>
  <c r="N337" i="14"/>
  <c r="M337" i="14"/>
  <c r="L337" i="14"/>
  <c r="K337" i="14"/>
  <c r="J337" i="14"/>
  <c r="I337" i="14"/>
  <c r="H337" i="14"/>
  <c r="G337" i="14"/>
  <c r="F337" i="14"/>
  <c r="E337" i="14"/>
  <c r="D337" i="14"/>
  <c r="C337" i="14"/>
  <c r="B337" i="14"/>
  <c r="S336" i="14"/>
  <c r="R336" i="14"/>
  <c r="Q336" i="14"/>
  <c r="P336" i="14"/>
  <c r="O336" i="14"/>
  <c r="N336" i="14"/>
  <c r="M336" i="14"/>
  <c r="L336" i="14"/>
  <c r="K336" i="14"/>
  <c r="J336" i="14"/>
  <c r="I336" i="14"/>
  <c r="H336" i="14"/>
  <c r="G336" i="14"/>
  <c r="F336" i="14"/>
  <c r="E336" i="14"/>
  <c r="D336" i="14"/>
  <c r="C336" i="14"/>
  <c r="B336" i="14"/>
  <c r="S335" i="14"/>
  <c r="R335" i="14"/>
  <c r="Q335" i="14"/>
  <c r="P335" i="14"/>
  <c r="O335" i="14"/>
  <c r="N335" i="14"/>
  <c r="M335" i="14"/>
  <c r="L335" i="14"/>
  <c r="K335" i="14"/>
  <c r="J335" i="14"/>
  <c r="I335" i="14"/>
  <c r="H335" i="14"/>
  <c r="G335" i="14"/>
  <c r="F335" i="14"/>
  <c r="E335" i="14"/>
  <c r="D335" i="14"/>
  <c r="C335" i="14"/>
  <c r="B335" i="14"/>
  <c r="S334" i="14"/>
  <c r="R334" i="14"/>
  <c r="Q334" i="14"/>
  <c r="P334" i="14"/>
  <c r="O334" i="14"/>
  <c r="N334" i="14"/>
  <c r="M334" i="14"/>
  <c r="L334" i="14"/>
  <c r="K334" i="14"/>
  <c r="J334" i="14"/>
  <c r="I334" i="14"/>
  <c r="H334" i="14"/>
  <c r="G334" i="14"/>
  <c r="F334" i="14"/>
  <c r="E334" i="14"/>
  <c r="D334" i="14"/>
  <c r="C334" i="14"/>
  <c r="B334" i="14"/>
  <c r="S333" i="14"/>
  <c r="R333" i="14"/>
  <c r="Q333" i="14"/>
  <c r="P333" i="14"/>
  <c r="O333" i="14"/>
  <c r="N333" i="14"/>
  <c r="M333" i="14"/>
  <c r="L333" i="14"/>
  <c r="K333" i="14"/>
  <c r="J333" i="14"/>
  <c r="I333" i="14"/>
  <c r="H333" i="14"/>
  <c r="G333" i="14"/>
  <c r="F333" i="14"/>
  <c r="E333" i="14"/>
  <c r="D333" i="14"/>
  <c r="C333" i="14"/>
  <c r="B333" i="14"/>
  <c r="S332" i="14"/>
  <c r="R332" i="14"/>
  <c r="Q332" i="14"/>
  <c r="P332" i="14"/>
  <c r="O332" i="14"/>
  <c r="N332" i="14"/>
  <c r="M332" i="14"/>
  <c r="L332" i="14"/>
  <c r="K332" i="14"/>
  <c r="J332" i="14"/>
  <c r="I332" i="14"/>
  <c r="H332" i="14"/>
  <c r="G332" i="14"/>
  <c r="F332" i="14"/>
  <c r="E332" i="14"/>
  <c r="D332" i="14"/>
  <c r="C332" i="14"/>
  <c r="B332" i="14"/>
  <c r="S331" i="14"/>
  <c r="R331" i="14"/>
  <c r="Q331" i="14"/>
  <c r="P331" i="14"/>
  <c r="O331" i="14"/>
  <c r="N331" i="14"/>
  <c r="M331" i="14"/>
  <c r="L331" i="14"/>
  <c r="K331" i="14"/>
  <c r="J331" i="14"/>
  <c r="I331" i="14"/>
  <c r="H331" i="14"/>
  <c r="G331" i="14"/>
  <c r="F331" i="14"/>
  <c r="E331" i="14"/>
  <c r="D331" i="14"/>
  <c r="C331" i="14"/>
  <c r="B331" i="14"/>
  <c r="S330" i="14"/>
  <c r="R330" i="14"/>
  <c r="Q330" i="14"/>
  <c r="P330" i="14"/>
  <c r="O330" i="14"/>
  <c r="N330" i="14"/>
  <c r="M330" i="14"/>
  <c r="L330" i="14"/>
  <c r="K330" i="14"/>
  <c r="J330" i="14"/>
  <c r="I330" i="14"/>
  <c r="H330" i="14"/>
  <c r="G330" i="14"/>
  <c r="F330" i="14"/>
  <c r="E330" i="14"/>
  <c r="D330" i="14"/>
  <c r="C330" i="14"/>
  <c r="B330" i="14"/>
  <c r="S329" i="14"/>
  <c r="R329" i="14"/>
  <c r="Q329" i="14"/>
  <c r="P329" i="14"/>
  <c r="O329" i="14"/>
  <c r="N329" i="14"/>
  <c r="M329" i="14"/>
  <c r="L329" i="14"/>
  <c r="K329" i="14"/>
  <c r="J329" i="14"/>
  <c r="I329" i="14"/>
  <c r="H329" i="14"/>
  <c r="G329" i="14"/>
  <c r="F329" i="14"/>
  <c r="E329" i="14"/>
  <c r="D329" i="14"/>
  <c r="C329" i="14"/>
  <c r="B329" i="14"/>
  <c r="S328" i="14"/>
  <c r="R328" i="14"/>
  <c r="Q328" i="14"/>
  <c r="P328" i="14"/>
  <c r="O328" i="14"/>
  <c r="N328" i="14"/>
  <c r="M328" i="14"/>
  <c r="L328" i="14"/>
  <c r="K328" i="14"/>
  <c r="J328" i="14"/>
  <c r="I328" i="14"/>
  <c r="H328" i="14"/>
  <c r="G328" i="14"/>
  <c r="F328" i="14"/>
  <c r="E328" i="14"/>
  <c r="D328" i="14"/>
  <c r="C328" i="14"/>
  <c r="B328" i="14"/>
  <c r="S327" i="14"/>
  <c r="R327" i="14"/>
  <c r="Q327" i="14"/>
  <c r="P327" i="14"/>
  <c r="O327" i="14"/>
  <c r="N327" i="14"/>
  <c r="M327" i="14"/>
  <c r="L327" i="14"/>
  <c r="K327" i="14"/>
  <c r="J327" i="14"/>
  <c r="I327" i="14"/>
  <c r="H327" i="14"/>
  <c r="G327" i="14"/>
  <c r="F327" i="14"/>
  <c r="E327" i="14"/>
  <c r="D327" i="14"/>
  <c r="C327" i="14"/>
  <c r="B327" i="14"/>
  <c r="S326" i="14"/>
  <c r="R326" i="14"/>
  <c r="Q326" i="14"/>
  <c r="P326" i="14"/>
  <c r="O326" i="14"/>
  <c r="N326" i="14"/>
  <c r="M326" i="14"/>
  <c r="L326" i="14"/>
  <c r="K326" i="14"/>
  <c r="J326" i="14"/>
  <c r="I326" i="14"/>
  <c r="H326" i="14"/>
  <c r="G326" i="14"/>
  <c r="F326" i="14"/>
  <c r="E326" i="14"/>
  <c r="D326" i="14"/>
  <c r="C326" i="14"/>
  <c r="B326" i="14"/>
  <c r="S325" i="14"/>
  <c r="R325" i="14"/>
  <c r="Q325" i="14"/>
  <c r="P325" i="14"/>
  <c r="O325" i="14"/>
  <c r="N325" i="14"/>
  <c r="M325" i="14"/>
  <c r="L325" i="14"/>
  <c r="K325" i="14"/>
  <c r="J325" i="14"/>
  <c r="I325" i="14"/>
  <c r="H325" i="14"/>
  <c r="G325" i="14"/>
  <c r="F325" i="14"/>
  <c r="E325" i="14"/>
  <c r="D325" i="14"/>
  <c r="C325" i="14"/>
  <c r="B325" i="14"/>
  <c r="S324" i="14"/>
  <c r="R324" i="14"/>
  <c r="Q324" i="14"/>
  <c r="P324" i="14"/>
  <c r="O324" i="14"/>
  <c r="N324" i="14"/>
  <c r="M324" i="14"/>
  <c r="L324" i="14"/>
  <c r="K324" i="14"/>
  <c r="J324" i="14"/>
  <c r="I324" i="14"/>
  <c r="H324" i="14"/>
  <c r="G324" i="14"/>
  <c r="F324" i="14"/>
  <c r="E324" i="14"/>
  <c r="D324" i="14"/>
  <c r="C324" i="14"/>
  <c r="B324" i="14"/>
  <c r="S323" i="14"/>
  <c r="R323" i="14"/>
  <c r="Q323" i="14"/>
  <c r="P323" i="14"/>
  <c r="O323" i="14"/>
  <c r="N323" i="14"/>
  <c r="M323" i="14"/>
  <c r="L323" i="14"/>
  <c r="K323" i="14"/>
  <c r="J323" i="14"/>
  <c r="I323" i="14"/>
  <c r="H323" i="14"/>
  <c r="G323" i="14"/>
  <c r="F323" i="14"/>
  <c r="E323" i="14"/>
  <c r="D323" i="14"/>
  <c r="C323" i="14"/>
  <c r="B323" i="14"/>
  <c r="S322" i="14"/>
  <c r="R322" i="14"/>
  <c r="Q322" i="14"/>
  <c r="P322" i="14"/>
  <c r="O322" i="14"/>
  <c r="N322" i="14"/>
  <c r="M322" i="14"/>
  <c r="L322" i="14"/>
  <c r="K322" i="14"/>
  <c r="J322" i="14"/>
  <c r="I322" i="14"/>
  <c r="H322" i="14"/>
  <c r="G322" i="14"/>
  <c r="F322" i="14"/>
  <c r="E322" i="14"/>
  <c r="D322" i="14"/>
  <c r="C322" i="14"/>
  <c r="B322" i="14"/>
  <c r="S321" i="14"/>
  <c r="R321" i="14"/>
  <c r="Q321" i="14"/>
  <c r="P321" i="14"/>
  <c r="O321" i="14"/>
  <c r="N321" i="14"/>
  <c r="M321" i="14"/>
  <c r="L321" i="14"/>
  <c r="K321" i="14"/>
  <c r="J321" i="14"/>
  <c r="I321" i="14"/>
  <c r="H321" i="14"/>
  <c r="G321" i="14"/>
  <c r="F321" i="14"/>
  <c r="E321" i="14"/>
  <c r="D321" i="14"/>
  <c r="C321" i="14"/>
  <c r="B321" i="14"/>
  <c r="S320" i="14"/>
  <c r="R320" i="14"/>
  <c r="Q320" i="14"/>
  <c r="P320" i="14"/>
  <c r="O320" i="14"/>
  <c r="N320" i="14"/>
  <c r="M320" i="14"/>
  <c r="L320" i="14"/>
  <c r="K320" i="14"/>
  <c r="J320" i="14"/>
  <c r="I320" i="14"/>
  <c r="H320" i="14"/>
  <c r="G320" i="14"/>
  <c r="F320" i="14"/>
  <c r="E320" i="14"/>
  <c r="D320" i="14"/>
  <c r="C320" i="14"/>
  <c r="B320" i="14"/>
  <c r="S319" i="14"/>
  <c r="R319" i="14"/>
  <c r="Q319" i="14"/>
  <c r="P319" i="14"/>
  <c r="O319" i="14"/>
  <c r="N319" i="14"/>
  <c r="M319" i="14"/>
  <c r="L319" i="14"/>
  <c r="K319" i="14"/>
  <c r="J319" i="14"/>
  <c r="I319" i="14"/>
  <c r="H319" i="14"/>
  <c r="G319" i="14"/>
  <c r="F319" i="14"/>
  <c r="E319" i="14"/>
  <c r="D319" i="14"/>
  <c r="C319" i="14"/>
  <c r="B319" i="14"/>
  <c r="S318" i="14"/>
  <c r="R318" i="14"/>
  <c r="Q318" i="14"/>
  <c r="P318" i="14"/>
  <c r="O318" i="14"/>
  <c r="N318" i="14"/>
  <c r="M318" i="14"/>
  <c r="L318" i="14"/>
  <c r="K318" i="14"/>
  <c r="J318" i="14"/>
  <c r="I318" i="14"/>
  <c r="H318" i="14"/>
  <c r="G318" i="14"/>
  <c r="F318" i="14"/>
  <c r="E318" i="14"/>
  <c r="D318" i="14"/>
  <c r="C318" i="14"/>
  <c r="B318" i="14"/>
  <c r="S317" i="14"/>
  <c r="R317" i="14"/>
  <c r="Q317" i="14"/>
  <c r="P317" i="14"/>
  <c r="O317" i="14"/>
  <c r="N317" i="14"/>
  <c r="M317" i="14"/>
  <c r="L317" i="14"/>
  <c r="K317" i="14"/>
  <c r="J317" i="14"/>
  <c r="I317" i="14"/>
  <c r="H317" i="14"/>
  <c r="G317" i="14"/>
  <c r="F317" i="14"/>
  <c r="E317" i="14"/>
  <c r="D317" i="14"/>
  <c r="C317" i="14"/>
  <c r="B317" i="14"/>
  <c r="S316" i="14"/>
  <c r="R316" i="14"/>
  <c r="Q316" i="14"/>
  <c r="P316" i="14"/>
  <c r="O316" i="14"/>
  <c r="N316" i="14"/>
  <c r="M316" i="14"/>
  <c r="L316" i="14"/>
  <c r="K316" i="14"/>
  <c r="J316" i="14"/>
  <c r="I316" i="14"/>
  <c r="H316" i="14"/>
  <c r="G316" i="14"/>
  <c r="F316" i="14"/>
  <c r="E316" i="14"/>
  <c r="D316" i="14"/>
  <c r="C316" i="14"/>
  <c r="B316" i="14"/>
  <c r="S315" i="14"/>
  <c r="R315" i="14"/>
  <c r="Q315" i="14"/>
  <c r="P315" i="14"/>
  <c r="O315" i="14"/>
  <c r="N315" i="14"/>
  <c r="M315" i="14"/>
  <c r="L315" i="14"/>
  <c r="K315" i="14"/>
  <c r="J315" i="14"/>
  <c r="I315" i="14"/>
  <c r="H315" i="14"/>
  <c r="G315" i="14"/>
  <c r="F315" i="14"/>
  <c r="E315" i="14"/>
  <c r="D315" i="14"/>
  <c r="C315" i="14"/>
  <c r="B315" i="14"/>
  <c r="S314" i="14"/>
  <c r="R314" i="14"/>
  <c r="Q314" i="14"/>
  <c r="P314" i="14"/>
  <c r="O314" i="14"/>
  <c r="N314" i="14"/>
  <c r="M314" i="14"/>
  <c r="L314" i="14"/>
  <c r="K314" i="14"/>
  <c r="J314" i="14"/>
  <c r="I314" i="14"/>
  <c r="H314" i="14"/>
  <c r="G314" i="14"/>
  <c r="F314" i="14"/>
  <c r="E314" i="14"/>
  <c r="D314" i="14"/>
  <c r="C314" i="14"/>
  <c r="B314" i="14"/>
  <c r="S313" i="14"/>
  <c r="R313" i="14"/>
  <c r="Q313" i="14"/>
  <c r="P313" i="14"/>
  <c r="O313" i="14"/>
  <c r="N313" i="14"/>
  <c r="M313" i="14"/>
  <c r="L313" i="14"/>
  <c r="K313" i="14"/>
  <c r="J313" i="14"/>
  <c r="I313" i="14"/>
  <c r="H313" i="14"/>
  <c r="G313" i="14"/>
  <c r="F313" i="14"/>
  <c r="E313" i="14"/>
  <c r="D313" i="14"/>
  <c r="C313" i="14"/>
  <c r="B313" i="14"/>
  <c r="S312" i="14"/>
  <c r="R312" i="14"/>
  <c r="Q312" i="14"/>
  <c r="P312" i="14"/>
  <c r="O312" i="14"/>
  <c r="N312" i="14"/>
  <c r="M312" i="14"/>
  <c r="L312" i="14"/>
  <c r="K312" i="14"/>
  <c r="J312" i="14"/>
  <c r="I312" i="14"/>
  <c r="H312" i="14"/>
  <c r="G312" i="14"/>
  <c r="F312" i="14"/>
  <c r="E312" i="14"/>
  <c r="D312" i="14"/>
  <c r="C312" i="14"/>
  <c r="B312" i="14"/>
  <c r="S311" i="14"/>
  <c r="R311" i="14"/>
  <c r="Q311" i="14"/>
  <c r="P311" i="14"/>
  <c r="O311" i="14"/>
  <c r="N311" i="14"/>
  <c r="M311" i="14"/>
  <c r="L311" i="14"/>
  <c r="K311" i="14"/>
  <c r="J311" i="14"/>
  <c r="I311" i="14"/>
  <c r="H311" i="14"/>
  <c r="G311" i="14"/>
  <c r="F311" i="14"/>
  <c r="E311" i="14"/>
  <c r="D311" i="14"/>
  <c r="C311" i="14"/>
  <c r="B311" i="14"/>
  <c r="S310" i="14"/>
  <c r="R310" i="14"/>
  <c r="Q310" i="14"/>
  <c r="P310" i="14"/>
  <c r="O310" i="14"/>
  <c r="N310" i="14"/>
  <c r="M310" i="14"/>
  <c r="L310" i="14"/>
  <c r="K310" i="14"/>
  <c r="J310" i="14"/>
  <c r="I310" i="14"/>
  <c r="H310" i="14"/>
  <c r="G310" i="14"/>
  <c r="F310" i="14"/>
  <c r="E310" i="14"/>
  <c r="D310" i="14"/>
  <c r="C310" i="14"/>
  <c r="B310" i="14"/>
  <c r="S309" i="14"/>
  <c r="R309" i="14"/>
  <c r="Q309" i="14"/>
  <c r="P309" i="14"/>
  <c r="O309" i="14"/>
  <c r="N309" i="14"/>
  <c r="M309" i="14"/>
  <c r="L309" i="14"/>
  <c r="K309" i="14"/>
  <c r="J309" i="14"/>
  <c r="I309" i="14"/>
  <c r="H309" i="14"/>
  <c r="G309" i="14"/>
  <c r="F309" i="14"/>
  <c r="E309" i="14"/>
  <c r="D309" i="14"/>
  <c r="C309" i="14"/>
  <c r="B309" i="14"/>
  <c r="S308" i="14"/>
  <c r="R308" i="14"/>
  <c r="Q308" i="14"/>
  <c r="P308" i="14"/>
  <c r="O308" i="14"/>
  <c r="N308" i="14"/>
  <c r="M308" i="14"/>
  <c r="L308" i="14"/>
  <c r="K308" i="14"/>
  <c r="J308" i="14"/>
  <c r="I308" i="14"/>
  <c r="H308" i="14"/>
  <c r="G308" i="14"/>
  <c r="F308" i="14"/>
  <c r="E308" i="14"/>
  <c r="D308" i="14"/>
  <c r="C308" i="14"/>
  <c r="B308" i="14"/>
  <c r="S307" i="14"/>
  <c r="R307" i="14"/>
  <c r="Q307" i="14"/>
  <c r="P307" i="14"/>
  <c r="O307" i="14"/>
  <c r="N307" i="14"/>
  <c r="M307" i="14"/>
  <c r="L307" i="14"/>
  <c r="K307" i="14"/>
  <c r="J307" i="14"/>
  <c r="I307" i="14"/>
  <c r="H307" i="14"/>
  <c r="G307" i="14"/>
  <c r="F307" i="14"/>
  <c r="E307" i="14"/>
  <c r="D307" i="14"/>
  <c r="C307" i="14"/>
  <c r="B307" i="14"/>
  <c r="S306" i="14"/>
  <c r="R306" i="14"/>
  <c r="Q306" i="14"/>
  <c r="P306" i="14"/>
  <c r="O306" i="14"/>
  <c r="N306" i="14"/>
  <c r="M306" i="14"/>
  <c r="L306" i="14"/>
  <c r="K306" i="14"/>
  <c r="J306" i="14"/>
  <c r="I306" i="14"/>
  <c r="H306" i="14"/>
  <c r="G306" i="14"/>
  <c r="F306" i="14"/>
  <c r="E306" i="14"/>
  <c r="D306" i="14"/>
  <c r="C306" i="14"/>
  <c r="B306" i="14"/>
  <c r="S305" i="14"/>
  <c r="R305" i="14"/>
  <c r="Q305" i="14"/>
  <c r="P305" i="14"/>
  <c r="O305" i="14"/>
  <c r="N305" i="14"/>
  <c r="M305" i="14"/>
  <c r="L305" i="14"/>
  <c r="K305" i="14"/>
  <c r="J305" i="14"/>
  <c r="I305" i="14"/>
  <c r="H305" i="14"/>
  <c r="G305" i="14"/>
  <c r="F305" i="14"/>
  <c r="E305" i="14"/>
  <c r="D305" i="14"/>
  <c r="C305" i="14"/>
  <c r="B305" i="14"/>
  <c r="S304" i="14"/>
  <c r="R304" i="14"/>
  <c r="Q304" i="14"/>
  <c r="P304" i="14"/>
  <c r="O304" i="14"/>
  <c r="N304" i="14"/>
  <c r="M304" i="14"/>
  <c r="L304" i="14"/>
  <c r="K304" i="14"/>
  <c r="J304" i="14"/>
  <c r="I304" i="14"/>
  <c r="H304" i="14"/>
  <c r="G304" i="14"/>
  <c r="F304" i="14"/>
  <c r="E304" i="14"/>
  <c r="D304" i="14"/>
  <c r="C304" i="14"/>
  <c r="B304" i="14"/>
  <c r="S303" i="14"/>
  <c r="R303" i="14"/>
  <c r="Q303" i="14"/>
  <c r="P303" i="14"/>
  <c r="O303" i="14"/>
  <c r="N303" i="14"/>
  <c r="M303" i="14"/>
  <c r="L303" i="14"/>
  <c r="K303" i="14"/>
  <c r="J303" i="14"/>
  <c r="I303" i="14"/>
  <c r="H303" i="14"/>
  <c r="G303" i="14"/>
  <c r="F303" i="14"/>
  <c r="E303" i="14"/>
  <c r="D303" i="14"/>
  <c r="C303" i="14"/>
  <c r="B303" i="14"/>
  <c r="S302" i="14"/>
  <c r="R302" i="14"/>
  <c r="Q302" i="14"/>
  <c r="P302" i="14"/>
  <c r="O302" i="14"/>
  <c r="N302" i="14"/>
  <c r="M302" i="14"/>
  <c r="L302" i="14"/>
  <c r="K302" i="14"/>
  <c r="J302" i="14"/>
  <c r="I302" i="14"/>
  <c r="H302" i="14"/>
  <c r="G302" i="14"/>
  <c r="F302" i="14"/>
  <c r="E302" i="14"/>
  <c r="D302" i="14"/>
  <c r="C302" i="14"/>
  <c r="B302" i="14"/>
  <c r="S301" i="14"/>
  <c r="R301" i="14"/>
  <c r="Q301" i="14"/>
  <c r="P301" i="14"/>
  <c r="O301" i="14"/>
  <c r="N301" i="14"/>
  <c r="M301" i="14"/>
  <c r="L301" i="14"/>
  <c r="K301" i="14"/>
  <c r="J301" i="14"/>
  <c r="I301" i="14"/>
  <c r="H301" i="14"/>
  <c r="G301" i="14"/>
  <c r="F301" i="14"/>
  <c r="E301" i="14"/>
  <c r="D301" i="14"/>
  <c r="C301" i="14"/>
  <c r="B301" i="14"/>
  <c r="S300" i="14"/>
  <c r="R300" i="14"/>
  <c r="Q300" i="14"/>
  <c r="P300" i="14"/>
  <c r="O300" i="14"/>
  <c r="N300" i="14"/>
  <c r="M300" i="14"/>
  <c r="L300" i="14"/>
  <c r="K300" i="14"/>
  <c r="J300" i="14"/>
  <c r="I300" i="14"/>
  <c r="H300" i="14"/>
  <c r="G300" i="14"/>
  <c r="F300" i="14"/>
  <c r="E300" i="14"/>
  <c r="D300" i="14"/>
  <c r="C300" i="14"/>
  <c r="B300" i="14"/>
  <c r="S299" i="14"/>
  <c r="R299" i="14"/>
  <c r="Q299" i="14"/>
  <c r="P299" i="14"/>
  <c r="O299" i="14"/>
  <c r="N299" i="14"/>
  <c r="M299" i="14"/>
  <c r="L299" i="14"/>
  <c r="K299" i="14"/>
  <c r="J299" i="14"/>
  <c r="I299" i="14"/>
  <c r="H299" i="14"/>
  <c r="G299" i="14"/>
  <c r="F299" i="14"/>
  <c r="E299" i="14"/>
  <c r="D299" i="14"/>
  <c r="C299" i="14"/>
  <c r="B299" i="14"/>
  <c r="S298" i="14"/>
  <c r="R298" i="14"/>
  <c r="Q298" i="14"/>
  <c r="P298" i="14"/>
  <c r="O298" i="14"/>
  <c r="N298" i="14"/>
  <c r="M298" i="14"/>
  <c r="L298" i="14"/>
  <c r="K298" i="14"/>
  <c r="J298" i="14"/>
  <c r="I298" i="14"/>
  <c r="H298" i="14"/>
  <c r="G298" i="14"/>
  <c r="F298" i="14"/>
  <c r="E298" i="14"/>
  <c r="D298" i="14"/>
  <c r="C298" i="14"/>
  <c r="B298" i="14"/>
  <c r="S297" i="14"/>
  <c r="R297" i="14"/>
  <c r="Q297" i="14"/>
  <c r="P297" i="14"/>
  <c r="O297" i="14"/>
  <c r="N297" i="14"/>
  <c r="M297" i="14"/>
  <c r="L297" i="14"/>
  <c r="K297" i="14"/>
  <c r="J297" i="14"/>
  <c r="I297" i="14"/>
  <c r="H297" i="14"/>
  <c r="G297" i="14"/>
  <c r="F297" i="14"/>
  <c r="E297" i="14"/>
  <c r="D297" i="14"/>
  <c r="C297" i="14"/>
  <c r="B297" i="14"/>
  <c r="S296" i="14"/>
  <c r="R296" i="14"/>
  <c r="Q296" i="14"/>
  <c r="P296" i="14"/>
  <c r="O296" i="14"/>
  <c r="N296" i="14"/>
  <c r="M296" i="14"/>
  <c r="L296" i="14"/>
  <c r="K296" i="14"/>
  <c r="J296" i="14"/>
  <c r="I296" i="14"/>
  <c r="H296" i="14"/>
  <c r="G296" i="14"/>
  <c r="F296" i="14"/>
  <c r="E296" i="14"/>
  <c r="D296" i="14"/>
  <c r="C296" i="14"/>
  <c r="B296" i="14"/>
  <c r="S295" i="14"/>
  <c r="R295" i="14"/>
  <c r="Q295" i="14"/>
  <c r="P295" i="14"/>
  <c r="O295" i="14"/>
  <c r="N295" i="14"/>
  <c r="M295" i="14"/>
  <c r="L295" i="14"/>
  <c r="K295" i="14"/>
  <c r="J295" i="14"/>
  <c r="I295" i="14"/>
  <c r="H295" i="14"/>
  <c r="G295" i="14"/>
  <c r="F295" i="14"/>
  <c r="E295" i="14"/>
  <c r="D295" i="14"/>
  <c r="C295" i="14"/>
  <c r="B295" i="14"/>
  <c r="S294" i="14"/>
  <c r="R294" i="14"/>
  <c r="Q294" i="14"/>
  <c r="P294" i="14"/>
  <c r="O294" i="14"/>
  <c r="N294" i="14"/>
  <c r="M294" i="14"/>
  <c r="L294" i="14"/>
  <c r="K294" i="14"/>
  <c r="J294" i="14"/>
  <c r="I294" i="14"/>
  <c r="H294" i="14"/>
  <c r="G294" i="14"/>
  <c r="F294" i="14"/>
  <c r="E294" i="14"/>
  <c r="D294" i="14"/>
  <c r="C294" i="14"/>
  <c r="B294" i="14"/>
  <c r="S293" i="14"/>
  <c r="R293" i="14"/>
  <c r="Q293" i="14"/>
  <c r="P293" i="14"/>
  <c r="O293" i="14"/>
  <c r="N293" i="14"/>
  <c r="M293" i="14"/>
  <c r="L293" i="14"/>
  <c r="K293" i="14"/>
  <c r="J293" i="14"/>
  <c r="I293" i="14"/>
  <c r="H293" i="14"/>
  <c r="G293" i="14"/>
  <c r="F293" i="14"/>
  <c r="E293" i="14"/>
  <c r="D293" i="14"/>
  <c r="C293" i="14"/>
  <c r="B293" i="14"/>
  <c r="S292" i="14"/>
  <c r="R292" i="14"/>
  <c r="Q292" i="14"/>
  <c r="P292" i="14"/>
  <c r="O292" i="14"/>
  <c r="N292" i="14"/>
  <c r="M292" i="14"/>
  <c r="L292" i="14"/>
  <c r="K292" i="14"/>
  <c r="J292" i="14"/>
  <c r="I292" i="14"/>
  <c r="H292" i="14"/>
  <c r="G292" i="14"/>
  <c r="F292" i="14"/>
  <c r="E292" i="14"/>
  <c r="D292" i="14"/>
  <c r="C292" i="14"/>
  <c r="B292" i="14"/>
  <c r="S291" i="14"/>
  <c r="R291" i="14"/>
  <c r="Q291" i="14"/>
  <c r="P291" i="14"/>
  <c r="O291" i="14"/>
  <c r="N291" i="14"/>
  <c r="M291" i="14"/>
  <c r="L291" i="14"/>
  <c r="K291" i="14"/>
  <c r="J291" i="14"/>
  <c r="I291" i="14"/>
  <c r="H291" i="14"/>
  <c r="G291" i="14"/>
  <c r="F291" i="14"/>
  <c r="E291" i="14"/>
  <c r="D291" i="14"/>
  <c r="C291" i="14"/>
  <c r="B291" i="14"/>
  <c r="S290" i="14"/>
  <c r="R290" i="14"/>
  <c r="Q290" i="14"/>
  <c r="P290" i="14"/>
  <c r="O290" i="14"/>
  <c r="N290" i="14"/>
  <c r="M290" i="14"/>
  <c r="L290" i="14"/>
  <c r="K290" i="14"/>
  <c r="J290" i="14"/>
  <c r="I290" i="14"/>
  <c r="H290" i="14"/>
  <c r="G290" i="14"/>
  <c r="F290" i="14"/>
  <c r="E290" i="14"/>
  <c r="D290" i="14"/>
  <c r="C290" i="14"/>
  <c r="B290" i="14"/>
  <c r="S289" i="14"/>
  <c r="R289" i="14"/>
  <c r="Q289" i="14"/>
  <c r="P289" i="14"/>
  <c r="O289" i="14"/>
  <c r="N289" i="14"/>
  <c r="M289" i="14"/>
  <c r="L289" i="14"/>
  <c r="K289" i="14"/>
  <c r="J289" i="14"/>
  <c r="I289" i="14"/>
  <c r="H289" i="14"/>
  <c r="G289" i="14"/>
  <c r="F289" i="14"/>
  <c r="E289" i="14"/>
  <c r="D289" i="14"/>
  <c r="C289" i="14"/>
  <c r="B289" i="14"/>
  <c r="S288" i="14"/>
  <c r="R288" i="14"/>
  <c r="Q288" i="14"/>
  <c r="P288" i="14"/>
  <c r="O288" i="14"/>
  <c r="N288" i="14"/>
  <c r="M288" i="14"/>
  <c r="L288" i="14"/>
  <c r="K288" i="14"/>
  <c r="J288" i="14"/>
  <c r="I288" i="14"/>
  <c r="H288" i="14"/>
  <c r="G288" i="14"/>
  <c r="F288" i="14"/>
  <c r="E288" i="14"/>
  <c r="D288" i="14"/>
  <c r="C288" i="14"/>
  <c r="B288" i="14"/>
  <c r="S287" i="14"/>
  <c r="R287" i="14"/>
  <c r="Q287" i="14"/>
  <c r="P287" i="14"/>
  <c r="O287" i="14"/>
  <c r="N287" i="14"/>
  <c r="M287" i="14"/>
  <c r="L287" i="14"/>
  <c r="K287" i="14"/>
  <c r="J287" i="14"/>
  <c r="I287" i="14"/>
  <c r="H287" i="14"/>
  <c r="G287" i="14"/>
  <c r="F287" i="14"/>
  <c r="E287" i="14"/>
  <c r="D287" i="14"/>
  <c r="C287" i="14"/>
  <c r="B287" i="14"/>
  <c r="S286" i="14"/>
  <c r="R286" i="14"/>
  <c r="Q286" i="14"/>
  <c r="P286" i="14"/>
  <c r="O286" i="14"/>
  <c r="N286" i="14"/>
  <c r="M286" i="14"/>
  <c r="L286" i="14"/>
  <c r="K286" i="14"/>
  <c r="J286" i="14"/>
  <c r="I286" i="14"/>
  <c r="H286" i="14"/>
  <c r="G286" i="14"/>
  <c r="F286" i="14"/>
  <c r="E286" i="14"/>
  <c r="D286" i="14"/>
  <c r="C286" i="14"/>
  <c r="B286" i="14"/>
  <c r="S285" i="14"/>
  <c r="R285" i="14"/>
  <c r="Q285" i="14"/>
  <c r="P285" i="14"/>
  <c r="O285" i="14"/>
  <c r="N285" i="14"/>
  <c r="M285" i="14"/>
  <c r="L285" i="14"/>
  <c r="K285" i="14"/>
  <c r="J285" i="14"/>
  <c r="I285" i="14"/>
  <c r="H285" i="14"/>
  <c r="G285" i="14"/>
  <c r="F285" i="14"/>
  <c r="E285" i="14"/>
  <c r="D285" i="14"/>
  <c r="C285" i="14"/>
  <c r="B285" i="14"/>
  <c r="S284" i="14"/>
  <c r="R284" i="14"/>
  <c r="Q284" i="14"/>
  <c r="P284" i="14"/>
  <c r="O284" i="14"/>
  <c r="N284" i="14"/>
  <c r="M284" i="14"/>
  <c r="L284" i="14"/>
  <c r="K284" i="14"/>
  <c r="J284" i="14"/>
  <c r="I284" i="14"/>
  <c r="H284" i="14"/>
  <c r="G284" i="14"/>
  <c r="F284" i="14"/>
  <c r="E284" i="14"/>
  <c r="D284" i="14"/>
  <c r="C284" i="14"/>
  <c r="B284" i="14"/>
  <c r="S283" i="14"/>
  <c r="R283" i="14"/>
  <c r="Q283" i="14"/>
  <c r="P283" i="14"/>
  <c r="O283" i="14"/>
  <c r="N283" i="14"/>
  <c r="M283" i="14"/>
  <c r="L283" i="14"/>
  <c r="K283" i="14"/>
  <c r="J283" i="14"/>
  <c r="I283" i="14"/>
  <c r="H283" i="14"/>
  <c r="G283" i="14"/>
  <c r="F283" i="14"/>
  <c r="E283" i="14"/>
  <c r="C283" i="14"/>
  <c r="B283" i="14"/>
  <c r="S282" i="14"/>
  <c r="R282" i="14"/>
  <c r="Q282" i="14"/>
  <c r="P282" i="14"/>
  <c r="O282" i="14"/>
  <c r="N282" i="14"/>
  <c r="M282" i="14"/>
  <c r="L282" i="14"/>
  <c r="K282" i="14"/>
  <c r="J282" i="14"/>
  <c r="I282" i="14"/>
  <c r="H282" i="14"/>
  <c r="G282" i="14"/>
  <c r="F282" i="14"/>
  <c r="E282" i="14"/>
  <c r="D282" i="14"/>
  <c r="C282" i="14"/>
  <c r="B282" i="14"/>
  <c r="S281" i="14"/>
  <c r="R281" i="14"/>
  <c r="Q281" i="14"/>
  <c r="P281" i="14"/>
  <c r="O281" i="14"/>
  <c r="N281" i="14"/>
  <c r="M281" i="14"/>
  <c r="L281" i="14"/>
  <c r="K281" i="14"/>
  <c r="J281" i="14"/>
  <c r="I281" i="14"/>
  <c r="H281" i="14"/>
  <c r="G281" i="14"/>
  <c r="F281" i="14"/>
  <c r="E281" i="14"/>
  <c r="D281" i="14"/>
  <c r="C281" i="14"/>
  <c r="B281" i="14"/>
  <c r="S280" i="14"/>
  <c r="R280" i="14"/>
  <c r="Q280" i="14"/>
  <c r="P280" i="14"/>
  <c r="O280" i="14"/>
  <c r="N280" i="14"/>
  <c r="M280" i="14"/>
  <c r="L280" i="14"/>
  <c r="K280" i="14"/>
  <c r="J280" i="14"/>
  <c r="I280" i="14"/>
  <c r="H280" i="14"/>
  <c r="G280" i="14"/>
  <c r="F280" i="14"/>
  <c r="E280" i="14"/>
  <c r="D280" i="14"/>
  <c r="C280" i="14"/>
  <c r="B280" i="14"/>
  <c r="S279" i="14"/>
  <c r="R279" i="14"/>
  <c r="Q279" i="14"/>
  <c r="P279" i="14"/>
  <c r="O279" i="14"/>
  <c r="N279" i="14"/>
  <c r="M279" i="14"/>
  <c r="L279" i="14"/>
  <c r="K279" i="14"/>
  <c r="J279" i="14"/>
  <c r="I279" i="14"/>
  <c r="H279" i="14"/>
  <c r="G279" i="14"/>
  <c r="F279" i="14"/>
  <c r="E279" i="14"/>
  <c r="D279" i="14"/>
  <c r="C279" i="14"/>
  <c r="B279" i="14"/>
  <c r="S278" i="14"/>
  <c r="R278" i="14"/>
  <c r="Q278" i="14"/>
  <c r="P278" i="14"/>
  <c r="O278" i="14"/>
  <c r="N278" i="14"/>
  <c r="M278" i="14"/>
  <c r="L278" i="14"/>
  <c r="K278" i="14"/>
  <c r="J278" i="14"/>
  <c r="I278" i="14"/>
  <c r="H278" i="14"/>
  <c r="G278" i="14"/>
  <c r="F278" i="14"/>
  <c r="E278" i="14"/>
  <c r="D278" i="14"/>
  <c r="C278" i="14"/>
  <c r="B278" i="14"/>
  <c r="S277" i="14"/>
  <c r="R277" i="14"/>
  <c r="Q277" i="14"/>
  <c r="P277" i="14"/>
  <c r="O277" i="14"/>
  <c r="N277" i="14"/>
  <c r="M277" i="14"/>
  <c r="L277" i="14"/>
  <c r="K277" i="14"/>
  <c r="J277" i="14"/>
  <c r="I277" i="14"/>
  <c r="H277" i="14"/>
  <c r="G277" i="14"/>
  <c r="F277" i="14"/>
  <c r="E277" i="14"/>
  <c r="D277" i="14"/>
  <c r="C277" i="14"/>
  <c r="B277" i="14"/>
  <c r="S276" i="14"/>
  <c r="R276" i="14"/>
  <c r="Q276" i="14"/>
  <c r="P276" i="14"/>
  <c r="O276" i="14"/>
  <c r="N276" i="14"/>
  <c r="M276" i="14"/>
  <c r="L276" i="14"/>
  <c r="K276" i="14"/>
  <c r="J276" i="14"/>
  <c r="I276" i="14"/>
  <c r="H276" i="14"/>
  <c r="G276" i="14"/>
  <c r="F276" i="14"/>
  <c r="E276" i="14"/>
  <c r="D276" i="14"/>
  <c r="C276" i="14"/>
  <c r="B276" i="14"/>
  <c r="S275" i="14"/>
  <c r="R275" i="14"/>
  <c r="Q275" i="14"/>
  <c r="P275" i="14"/>
  <c r="O275" i="14"/>
  <c r="N275" i="14"/>
  <c r="M275" i="14"/>
  <c r="L275" i="14"/>
  <c r="K275" i="14"/>
  <c r="J275" i="14"/>
  <c r="I275" i="14"/>
  <c r="H275" i="14"/>
  <c r="G275" i="14"/>
  <c r="F275" i="14"/>
  <c r="E275" i="14"/>
  <c r="D275" i="14"/>
  <c r="C275" i="14"/>
  <c r="B275" i="14"/>
  <c r="S274" i="14"/>
  <c r="R274" i="14"/>
  <c r="Q274" i="14"/>
  <c r="P274" i="14"/>
  <c r="O274" i="14"/>
  <c r="N274" i="14"/>
  <c r="M274" i="14"/>
  <c r="L274" i="14"/>
  <c r="K274" i="14"/>
  <c r="J274" i="14"/>
  <c r="I274" i="14"/>
  <c r="H274" i="14"/>
  <c r="G274" i="14"/>
  <c r="F274" i="14"/>
  <c r="E274" i="14"/>
  <c r="D274" i="14"/>
  <c r="C274" i="14"/>
  <c r="B274" i="14"/>
  <c r="S273" i="14"/>
  <c r="R273" i="14"/>
  <c r="Q273" i="14"/>
  <c r="P273" i="14"/>
  <c r="O273" i="14"/>
  <c r="N273" i="14"/>
  <c r="M273" i="14"/>
  <c r="L273" i="14"/>
  <c r="K273" i="14"/>
  <c r="J273" i="14"/>
  <c r="I273" i="14"/>
  <c r="H273" i="14"/>
  <c r="G273" i="14"/>
  <c r="F273" i="14"/>
  <c r="E273" i="14"/>
  <c r="D273" i="14"/>
  <c r="C273" i="14"/>
  <c r="B273" i="14"/>
  <c r="S272" i="14"/>
  <c r="R272" i="14"/>
  <c r="Q272" i="14"/>
  <c r="P272" i="14"/>
  <c r="O272" i="14"/>
  <c r="N272" i="14"/>
  <c r="M272" i="14"/>
  <c r="L272" i="14"/>
  <c r="K272" i="14"/>
  <c r="J272" i="14"/>
  <c r="I272" i="14"/>
  <c r="H272" i="14"/>
  <c r="G272" i="14"/>
  <c r="F272" i="14"/>
  <c r="E272" i="14"/>
  <c r="D272" i="14"/>
  <c r="C272" i="14"/>
  <c r="B272" i="14"/>
  <c r="S271" i="14"/>
  <c r="R271" i="14"/>
  <c r="Q271" i="14"/>
  <c r="P271" i="14"/>
  <c r="O271" i="14"/>
  <c r="N271" i="14"/>
  <c r="M271" i="14"/>
  <c r="L271" i="14"/>
  <c r="K271" i="14"/>
  <c r="J271" i="14"/>
  <c r="I271" i="14"/>
  <c r="H271" i="14"/>
  <c r="G271" i="14"/>
  <c r="F271" i="14"/>
  <c r="E271" i="14"/>
  <c r="D271" i="14"/>
  <c r="C271" i="14"/>
  <c r="B271" i="14"/>
  <c r="S270" i="14"/>
  <c r="R270" i="14"/>
  <c r="Q270" i="14"/>
  <c r="P270" i="14"/>
  <c r="O270" i="14"/>
  <c r="N270" i="14"/>
  <c r="M270" i="14"/>
  <c r="L270" i="14"/>
  <c r="K270" i="14"/>
  <c r="J270" i="14"/>
  <c r="I270" i="14"/>
  <c r="H270" i="14"/>
  <c r="G270" i="14"/>
  <c r="F270" i="14"/>
  <c r="E270" i="14"/>
  <c r="D270" i="14"/>
  <c r="C270" i="14"/>
  <c r="B270" i="14"/>
  <c r="S269" i="14"/>
  <c r="R269" i="14"/>
  <c r="Q269" i="14"/>
  <c r="P269" i="14"/>
  <c r="O269" i="14"/>
  <c r="N269" i="14"/>
  <c r="M269" i="14"/>
  <c r="L269" i="14"/>
  <c r="K269" i="14"/>
  <c r="J269" i="14"/>
  <c r="I269" i="14"/>
  <c r="H269" i="14"/>
  <c r="G269" i="14"/>
  <c r="F269" i="14"/>
  <c r="E269" i="14"/>
  <c r="D269" i="14"/>
  <c r="C269" i="14"/>
  <c r="B269" i="14"/>
  <c r="S268" i="14"/>
  <c r="R268" i="14"/>
  <c r="Q268" i="14"/>
  <c r="P268" i="14"/>
  <c r="O268" i="14"/>
  <c r="N268" i="14"/>
  <c r="M268" i="14"/>
  <c r="L268" i="14"/>
  <c r="K268" i="14"/>
  <c r="J268" i="14"/>
  <c r="I268" i="14"/>
  <c r="H268" i="14"/>
  <c r="G268" i="14"/>
  <c r="F268" i="14"/>
  <c r="E268" i="14"/>
  <c r="D268" i="14"/>
  <c r="C268" i="14"/>
  <c r="B268" i="14"/>
  <c r="S267" i="14"/>
  <c r="R267" i="14"/>
  <c r="Q267" i="14"/>
  <c r="P267" i="14"/>
  <c r="O267" i="14"/>
  <c r="N267" i="14"/>
  <c r="M267" i="14"/>
  <c r="L267" i="14"/>
  <c r="K267" i="14"/>
  <c r="J267" i="14"/>
  <c r="I267" i="14"/>
  <c r="H267" i="14"/>
  <c r="G267" i="14"/>
  <c r="F267" i="14"/>
  <c r="E267" i="14"/>
  <c r="D267" i="14"/>
  <c r="C267" i="14"/>
  <c r="B267" i="14"/>
  <c r="S266" i="14"/>
  <c r="R266" i="14"/>
  <c r="Q266" i="14"/>
  <c r="P266" i="14"/>
  <c r="O266" i="14"/>
  <c r="N266" i="14"/>
  <c r="M266" i="14"/>
  <c r="L266" i="14"/>
  <c r="K266" i="14"/>
  <c r="J266" i="14"/>
  <c r="I266" i="14"/>
  <c r="H266" i="14"/>
  <c r="G266" i="14"/>
  <c r="F266" i="14"/>
  <c r="E266" i="14"/>
  <c r="D266" i="14"/>
  <c r="C266" i="14"/>
  <c r="B266" i="14"/>
  <c r="S265" i="14"/>
  <c r="R265" i="14"/>
  <c r="Q265" i="14"/>
  <c r="P265" i="14"/>
  <c r="O265" i="14"/>
  <c r="N265" i="14"/>
  <c r="M265" i="14"/>
  <c r="L265" i="14"/>
  <c r="K265" i="14"/>
  <c r="J265" i="14"/>
  <c r="I265" i="14"/>
  <c r="H265" i="14"/>
  <c r="G265" i="14"/>
  <c r="F265" i="14"/>
  <c r="E265" i="14"/>
  <c r="D265" i="14"/>
  <c r="C265" i="14"/>
  <c r="B265" i="14"/>
  <c r="S264" i="14"/>
  <c r="R264" i="14"/>
  <c r="Q264" i="14"/>
  <c r="P264" i="14"/>
  <c r="O264" i="14"/>
  <c r="N264" i="14"/>
  <c r="M264" i="14"/>
  <c r="L264" i="14"/>
  <c r="K264" i="14"/>
  <c r="J264" i="14"/>
  <c r="I264" i="14"/>
  <c r="H264" i="14"/>
  <c r="G264" i="14"/>
  <c r="F264" i="14"/>
  <c r="E264" i="14"/>
  <c r="D264" i="14"/>
  <c r="C264" i="14"/>
  <c r="B264" i="14"/>
  <c r="S263" i="14"/>
  <c r="R263" i="14"/>
  <c r="Q263" i="14"/>
  <c r="P263" i="14"/>
  <c r="O263" i="14"/>
  <c r="N263" i="14"/>
  <c r="M263" i="14"/>
  <c r="L263" i="14"/>
  <c r="K263" i="14"/>
  <c r="J263" i="14"/>
  <c r="I263" i="14"/>
  <c r="H263" i="14"/>
  <c r="G263" i="14"/>
  <c r="F263" i="14"/>
  <c r="E263" i="14"/>
  <c r="D263" i="14"/>
  <c r="C263" i="14"/>
  <c r="B263" i="14"/>
  <c r="S262" i="14"/>
  <c r="R262" i="14"/>
  <c r="Q262" i="14"/>
  <c r="P262" i="14"/>
  <c r="O262" i="14"/>
  <c r="N262" i="14"/>
  <c r="M262" i="14"/>
  <c r="L262" i="14"/>
  <c r="K262" i="14"/>
  <c r="J262" i="14"/>
  <c r="I262" i="14"/>
  <c r="H262" i="14"/>
  <c r="G262" i="14"/>
  <c r="F262" i="14"/>
  <c r="E262" i="14"/>
  <c r="D262" i="14"/>
  <c r="C262" i="14"/>
  <c r="B262" i="14"/>
  <c r="S261" i="14"/>
  <c r="R261" i="14"/>
  <c r="Q261" i="14"/>
  <c r="P261" i="14"/>
  <c r="O261" i="14"/>
  <c r="N261" i="14"/>
  <c r="M261" i="14"/>
  <c r="L261" i="14"/>
  <c r="K261" i="14"/>
  <c r="J261" i="14"/>
  <c r="I261" i="14"/>
  <c r="H261" i="14"/>
  <c r="G261" i="14"/>
  <c r="F261" i="14"/>
  <c r="E261" i="14"/>
  <c r="D261" i="14"/>
  <c r="C261" i="14"/>
  <c r="B261" i="14"/>
  <c r="S260" i="14"/>
  <c r="R260" i="14"/>
  <c r="Q260" i="14"/>
  <c r="P260" i="14"/>
  <c r="O260" i="14"/>
  <c r="N260" i="14"/>
  <c r="M260" i="14"/>
  <c r="L260" i="14"/>
  <c r="K260" i="14"/>
  <c r="J260" i="14"/>
  <c r="I260" i="14"/>
  <c r="H260" i="14"/>
  <c r="G260" i="14"/>
  <c r="F260" i="14"/>
  <c r="E260" i="14"/>
  <c r="D260" i="14"/>
  <c r="C260" i="14"/>
  <c r="B260" i="14"/>
  <c r="S259" i="14"/>
  <c r="R259" i="14"/>
  <c r="Q259" i="14"/>
  <c r="P259" i="14"/>
  <c r="O259" i="14"/>
  <c r="N259" i="14"/>
  <c r="M259" i="14"/>
  <c r="L259" i="14"/>
  <c r="K259" i="14"/>
  <c r="J259" i="14"/>
  <c r="I259" i="14"/>
  <c r="H259" i="14"/>
  <c r="G259" i="14"/>
  <c r="F259" i="14"/>
  <c r="E259" i="14"/>
  <c r="D259" i="14"/>
  <c r="C259" i="14"/>
  <c r="B259" i="14"/>
  <c r="S258" i="14"/>
  <c r="R258" i="14"/>
  <c r="Q258" i="14"/>
  <c r="P258" i="14"/>
  <c r="O258" i="14"/>
  <c r="N258" i="14"/>
  <c r="M258" i="14"/>
  <c r="L258" i="14"/>
  <c r="K258" i="14"/>
  <c r="J258" i="14"/>
  <c r="I258" i="14"/>
  <c r="H258" i="14"/>
  <c r="G258" i="14"/>
  <c r="F258" i="14"/>
  <c r="E258" i="14"/>
  <c r="D258" i="14"/>
  <c r="C258" i="14"/>
  <c r="B258" i="14"/>
  <c r="S257" i="14"/>
  <c r="R257" i="14"/>
  <c r="Q257" i="14"/>
  <c r="P257" i="14"/>
  <c r="O257" i="14"/>
  <c r="N257" i="14"/>
  <c r="M257" i="14"/>
  <c r="L257" i="14"/>
  <c r="K257" i="14"/>
  <c r="J257" i="14"/>
  <c r="I257" i="14"/>
  <c r="H257" i="14"/>
  <c r="G257" i="14"/>
  <c r="F257" i="14"/>
  <c r="E257" i="14"/>
  <c r="D257" i="14"/>
  <c r="C257" i="14"/>
  <c r="B257" i="14"/>
  <c r="S256" i="14"/>
  <c r="R256" i="14"/>
  <c r="Q256" i="14"/>
  <c r="P256" i="14"/>
  <c r="O256" i="14"/>
  <c r="N256" i="14"/>
  <c r="M256" i="14"/>
  <c r="L256" i="14"/>
  <c r="K256" i="14"/>
  <c r="J256" i="14"/>
  <c r="I256" i="14"/>
  <c r="H256" i="14"/>
  <c r="G256" i="14"/>
  <c r="F256" i="14"/>
  <c r="E256" i="14"/>
  <c r="D256" i="14"/>
  <c r="C256" i="14"/>
  <c r="B256" i="14"/>
  <c r="S255" i="14"/>
  <c r="R255" i="14"/>
  <c r="Q255" i="14"/>
  <c r="P255" i="14"/>
  <c r="O255" i="14"/>
  <c r="N255" i="14"/>
  <c r="M255" i="14"/>
  <c r="L255" i="14"/>
  <c r="K255" i="14"/>
  <c r="J255" i="14"/>
  <c r="I255" i="14"/>
  <c r="H255" i="14"/>
  <c r="G255" i="14"/>
  <c r="F255" i="14"/>
  <c r="E255" i="14"/>
  <c r="D255" i="14"/>
  <c r="C255" i="14"/>
  <c r="B255" i="14"/>
  <c r="S254" i="14"/>
  <c r="R254" i="14"/>
  <c r="Q254" i="14"/>
  <c r="P254" i="14"/>
  <c r="O254" i="14"/>
  <c r="N254" i="14"/>
  <c r="M254" i="14"/>
  <c r="L254" i="14"/>
  <c r="K254" i="14"/>
  <c r="J254" i="14"/>
  <c r="I254" i="14"/>
  <c r="H254" i="14"/>
  <c r="G254" i="14"/>
  <c r="F254" i="14"/>
  <c r="E254" i="14"/>
  <c r="D254" i="14"/>
  <c r="C254" i="14"/>
  <c r="B254" i="14"/>
  <c r="S253" i="14"/>
  <c r="R253" i="14"/>
  <c r="Q253" i="14"/>
  <c r="P253" i="14"/>
  <c r="O253" i="14"/>
  <c r="N253" i="14"/>
  <c r="M253" i="14"/>
  <c r="L253" i="14"/>
  <c r="K253" i="14"/>
  <c r="J253" i="14"/>
  <c r="I253" i="14"/>
  <c r="H253" i="14"/>
  <c r="G253" i="14"/>
  <c r="F253" i="14"/>
  <c r="E253" i="14"/>
  <c r="D253" i="14"/>
  <c r="C253" i="14"/>
  <c r="B253" i="14"/>
  <c r="S252" i="14"/>
  <c r="R252" i="14"/>
  <c r="Q252" i="14"/>
  <c r="P252" i="14"/>
  <c r="O252" i="14"/>
  <c r="N252" i="14"/>
  <c r="M252" i="14"/>
  <c r="L252" i="14"/>
  <c r="K252" i="14"/>
  <c r="J252" i="14"/>
  <c r="I252" i="14"/>
  <c r="H252" i="14"/>
  <c r="G252" i="14"/>
  <c r="F252" i="14"/>
  <c r="E252" i="14"/>
  <c r="D252" i="14"/>
  <c r="C252" i="14"/>
  <c r="B252" i="14"/>
  <c r="S251" i="14"/>
  <c r="R251" i="14"/>
  <c r="Q251" i="14"/>
  <c r="P251" i="14"/>
  <c r="O251" i="14"/>
  <c r="N251" i="14"/>
  <c r="M251" i="14"/>
  <c r="L251" i="14"/>
  <c r="K251" i="14"/>
  <c r="J251" i="14"/>
  <c r="I251" i="14"/>
  <c r="H251" i="14"/>
  <c r="G251" i="14"/>
  <c r="F251" i="14"/>
  <c r="E251" i="14"/>
  <c r="D251" i="14"/>
  <c r="C251" i="14"/>
  <c r="B251" i="14"/>
  <c r="S250" i="14"/>
  <c r="R250" i="14"/>
  <c r="Q250" i="14"/>
  <c r="P250" i="14"/>
  <c r="O250" i="14"/>
  <c r="N250" i="14"/>
  <c r="M250" i="14"/>
  <c r="L250" i="14"/>
  <c r="K250" i="14"/>
  <c r="J250" i="14"/>
  <c r="I250" i="14"/>
  <c r="H250" i="14"/>
  <c r="G250" i="14"/>
  <c r="F250" i="14"/>
  <c r="E250" i="14"/>
  <c r="D250" i="14"/>
  <c r="C250" i="14"/>
  <c r="B250" i="14"/>
  <c r="S249" i="14"/>
  <c r="R249" i="14"/>
  <c r="Q249" i="14"/>
  <c r="P249" i="14"/>
  <c r="O249" i="14"/>
  <c r="N249" i="14"/>
  <c r="M249" i="14"/>
  <c r="L249" i="14"/>
  <c r="K249" i="14"/>
  <c r="J249" i="14"/>
  <c r="I249" i="14"/>
  <c r="H249" i="14"/>
  <c r="G249" i="14"/>
  <c r="F249" i="14"/>
  <c r="E249" i="14"/>
  <c r="D249" i="14"/>
  <c r="C249" i="14"/>
  <c r="B249" i="14"/>
  <c r="S248" i="14"/>
  <c r="R248" i="14"/>
  <c r="Q248" i="14"/>
  <c r="P248" i="14"/>
  <c r="O248" i="14"/>
  <c r="N248" i="14"/>
  <c r="M248" i="14"/>
  <c r="L248" i="14"/>
  <c r="K248" i="14"/>
  <c r="J248" i="14"/>
  <c r="I248" i="14"/>
  <c r="H248" i="14"/>
  <c r="G248" i="14"/>
  <c r="F248" i="14"/>
  <c r="E248" i="14"/>
  <c r="D248" i="14"/>
  <c r="C248" i="14"/>
  <c r="B248" i="14"/>
  <c r="S247" i="14"/>
  <c r="R247" i="14"/>
  <c r="Q247" i="14"/>
  <c r="P247" i="14"/>
  <c r="O247" i="14"/>
  <c r="N247" i="14"/>
  <c r="M247" i="14"/>
  <c r="L247" i="14"/>
  <c r="K247" i="14"/>
  <c r="J247" i="14"/>
  <c r="I247" i="14"/>
  <c r="H247" i="14"/>
  <c r="G247" i="14"/>
  <c r="F247" i="14"/>
  <c r="E247" i="14"/>
  <c r="D247" i="14"/>
  <c r="C247" i="14"/>
  <c r="B247" i="14"/>
  <c r="S246" i="14"/>
  <c r="R246" i="14"/>
  <c r="Q246" i="14"/>
  <c r="P246" i="14"/>
  <c r="O246" i="14"/>
  <c r="N246" i="14"/>
  <c r="M246" i="14"/>
  <c r="L246" i="14"/>
  <c r="K246" i="14"/>
  <c r="J246" i="14"/>
  <c r="I246" i="14"/>
  <c r="H246" i="14"/>
  <c r="G246" i="14"/>
  <c r="F246" i="14"/>
  <c r="E246" i="14"/>
  <c r="D246" i="14"/>
  <c r="C246" i="14"/>
  <c r="B246" i="14"/>
  <c r="S245" i="14"/>
  <c r="R245" i="14"/>
  <c r="Q245" i="14"/>
  <c r="P245" i="14"/>
  <c r="O245" i="14"/>
  <c r="N245" i="14"/>
  <c r="M245" i="14"/>
  <c r="L245" i="14"/>
  <c r="K245" i="14"/>
  <c r="J245" i="14"/>
  <c r="I245" i="14"/>
  <c r="H245" i="14"/>
  <c r="G245" i="14"/>
  <c r="F245" i="14"/>
  <c r="E245" i="14"/>
  <c r="D245" i="14"/>
  <c r="C245" i="14"/>
  <c r="B245" i="14"/>
  <c r="S244" i="14"/>
  <c r="R244" i="14"/>
  <c r="Q244" i="14"/>
  <c r="P244" i="14"/>
  <c r="O244" i="14"/>
  <c r="N244" i="14"/>
  <c r="M244" i="14"/>
  <c r="L244" i="14"/>
  <c r="K244" i="14"/>
  <c r="J244" i="14"/>
  <c r="I244" i="14"/>
  <c r="H244" i="14"/>
  <c r="G244" i="14"/>
  <c r="F244" i="14"/>
  <c r="E244" i="14"/>
  <c r="D244" i="14"/>
  <c r="C244" i="14"/>
  <c r="B244" i="14"/>
  <c r="S243" i="14"/>
  <c r="R243" i="14"/>
  <c r="Q243" i="14"/>
  <c r="P243" i="14"/>
  <c r="O243" i="14"/>
  <c r="N243" i="14"/>
  <c r="M243" i="14"/>
  <c r="L243" i="14"/>
  <c r="K243" i="14"/>
  <c r="J243" i="14"/>
  <c r="I243" i="14"/>
  <c r="H243" i="14"/>
  <c r="G243" i="14"/>
  <c r="F243" i="14"/>
  <c r="E243" i="14"/>
  <c r="D243" i="14"/>
  <c r="C243" i="14"/>
  <c r="B243" i="14"/>
  <c r="S242" i="14"/>
  <c r="R242" i="14"/>
  <c r="Q242" i="14"/>
  <c r="P242" i="14"/>
  <c r="O242" i="14"/>
  <c r="N242" i="14"/>
  <c r="M242" i="14"/>
  <c r="L242" i="14"/>
  <c r="K242" i="14"/>
  <c r="J242" i="14"/>
  <c r="I242" i="14"/>
  <c r="H242" i="14"/>
  <c r="G242" i="14"/>
  <c r="F242" i="14"/>
  <c r="E242" i="14"/>
  <c r="D242" i="14"/>
  <c r="C242" i="14"/>
  <c r="B242" i="14"/>
  <c r="S241" i="14"/>
  <c r="R241" i="14"/>
  <c r="Q241" i="14"/>
  <c r="P241" i="14"/>
  <c r="O241" i="14"/>
  <c r="N241" i="14"/>
  <c r="M241" i="14"/>
  <c r="L241" i="14"/>
  <c r="K241" i="14"/>
  <c r="J241" i="14"/>
  <c r="I241" i="14"/>
  <c r="H241" i="14"/>
  <c r="G241" i="14"/>
  <c r="F241" i="14"/>
  <c r="E241" i="14"/>
  <c r="D241" i="14"/>
  <c r="C241" i="14"/>
  <c r="B241" i="14"/>
  <c r="S240" i="14"/>
  <c r="R240" i="14"/>
  <c r="Q240" i="14"/>
  <c r="P240" i="14"/>
  <c r="O240" i="14"/>
  <c r="N240" i="14"/>
  <c r="M240" i="14"/>
  <c r="L240" i="14"/>
  <c r="K240" i="14"/>
  <c r="J240" i="14"/>
  <c r="I240" i="14"/>
  <c r="H240" i="14"/>
  <c r="G240" i="14"/>
  <c r="F240" i="14"/>
  <c r="E240" i="14"/>
  <c r="D240" i="14"/>
  <c r="C240" i="14"/>
  <c r="B240" i="14"/>
  <c r="S239" i="14"/>
  <c r="R239" i="14"/>
  <c r="Q239" i="14"/>
  <c r="P239" i="14"/>
  <c r="O239" i="14"/>
  <c r="N239" i="14"/>
  <c r="M239" i="14"/>
  <c r="L239" i="14"/>
  <c r="K239" i="14"/>
  <c r="J239" i="14"/>
  <c r="I239" i="14"/>
  <c r="H239" i="14"/>
  <c r="G239" i="14"/>
  <c r="F239" i="14"/>
  <c r="E239" i="14"/>
  <c r="D239" i="14"/>
  <c r="C239" i="14"/>
  <c r="B239" i="14"/>
  <c r="S238" i="14"/>
  <c r="R238" i="14"/>
  <c r="Q238" i="14"/>
  <c r="P238" i="14"/>
  <c r="O238" i="14"/>
  <c r="N238" i="14"/>
  <c r="M238" i="14"/>
  <c r="L238" i="14"/>
  <c r="K238" i="14"/>
  <c r="J238" i="14"/>
  <c r="I238" i="14"/>
  <c r="H238" i="14"/>
  <c r="G238" i="14"/>
  <c r="F238" i="14"/>
  <c r="E238" i="14"/>
  <c r="D238" i="14"/>
  <c r="C238" i="14"/>
  <c r="B238" i="14"/>
  <c r="S237" i="14"/>
  <c r="R237" i="14"/>
  <c r="Q237" i="14"/>
  <c r="P237" i="14"/>
  <c r="O237" i="14"/>
  <c r="N237" i="14"/>
  <c r="M237" i="14"/>
  <c r="L237" i="14"/>
  <c r="K237" i="14"/>
  <c r="J237" i="14"/>
  <c r="I237" i="14"/>
  <c r="H237" i="14"/>
  <c r="G237" i="14"/>
  <c r="F237" i="14"/>
  <c r="E237" i="14"/>
  <c r="D237" i="14"/>
  <c r="C237" i="14"/>
  <c r="B237" i="14"/>
  <c r="S236" i="14"/>
  <c r="R236" i="14"/>
  <c r="Q236" i="14"/>
  <c r="P236" i="14"/>
  <c r="O236" i="14"/>
  <c r="N236" i="14"/>
  <c r="M236" i="14"/>
  <c r="L236" i="14"/>
  <c r="K236" i="14"/>
  <c r="J236" i="14"/>
  <c r="I236" i="14"/>
  <c r="H236" i="14"/>
  <c r="G236" i="14"/>
  <c r="F236" i="14"/>
  <c r="E236" i="14"/>
  <c r="D236" i="14"/>
  <c r="C236" i="14"/>
  <c r="B236" i="14"/>
  <c r="S235" i="14"/>
  <c r="R235" i="14"/>
  <c r="Q235" i="14"/>
  <c r="P235" i="14"/>
  <c r="O235" i="14"/>
  <c r="N235" i="14"/>
  <c r="M235" i="14"/>
  <c r="L235" i="14"/>
  <c r="K235" i="14"/>
  <c r="J235" i="14"/>
  <c r="I235" i="14"/>
  <c r="H235" i="14"/>
  <c r="G235" i="14"/>
  <c r="F235" i="14"/>
  <c r="E235" i="14"/>
  <c r="D235" i="14"/>
  <c r="C235" i="14"/>
  <c r="B235" i="14"/>
  <c r="S234" i="14"/>
  <c r="R234" i="14"/>
  <c r="Q234" i="14"/>
  <c r="P234" i="14"/>
  <c r="O234" i="14"/>
  <c r="N234" i="14"/>
  <c r="M234" i="14"/>
  <c r="L234" i="14"/>
  <c r="K234" i="14"/>
  <c r="J234" i="14"/>
  <c r="I234" i="14"/>
  <c r="H234" i="14"/>
  <c r="G234" i="14"/>
  <c r="F234" i="14"/>
  <c r="E234" i="14"/>
  <c r="D234" i="14"/>
  <c r="C234" i="14"/>
  <c r="B234" i="14"/>
  <c r="S233" i="14"/>
  <c r="R233" i="14"/>
  <c r="Q233" i="14"/>
  <c r="P233" i="14"/>
  <c r="O233" i="14"/>
  <c r="N233" i="14"/>
  <c r="M233" i="14"/>
  <c r="L233" i="14"/>
  <c r="K233" i="14"/>
  <c r="J233" i="14"/>
  <c r="I233" i="14"/>
  <c r="H233" i="14"/>
  <c r="G233" i="14"/>
  <c r="F233" i="14"/>
  <c r="E233" i="14"/>
  <c r="D233" i="14"/>
  <c r="C233" i="14"/>
  <c r="B233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D232" i="14"/>
  <c r="C232" i="14"/>
  <c r="B232" i="14"/>
  <c r="S231" i="14"/>
  <c r="R231" i="14"/>
  <c r="Q231" i="14"/>
  <c r="P231" i="14"/>
  <c r="O231" i="14"/>
  <c r="N231" i="14"/>
  <c r="M231" i="14"/>
  <c r="L231" i="14"/>
  <c r="K231" i="14"/>
  <c r="J231" i="14"/>
  <c r="I231" i="14"/>
  <c r="H231" i="14"/>
  <c r="G231" i="14"/>
  <c r="F231" i="14"/>
  <c r="E231" i="14"/>
  <c r="D231" i="14"/>
  <c r="C231" i="14"/>
  <c r="B231" i="14"/>
  <c r="S230" i="14"/>
  <c r="R230" i="14"/>
  <c r="Q230" i="14"/>
  <c r="P230" i="14"/>
  <c r="O230" i="14"/>
  <c r="N230" i="14"/>
  <c r="M230" i="14"/>
  <c r="L230" i="14"/>
  <c r="K230" i="14"/>
  <c r="J230" i="14"/>
  <c r="I230" i="14"/>
  <c r="H230" i="14"/>
  <c r="G230" i="14"/>
  <c r="F230" i="14"/>
  <c r="E230" i="14"/>
  <c r="D230" i="14"/>
  <c r="C230" i="14"/>
  <c r="B230" i="14"/>
  <c r="S229" i="14"/>
  <c r="R229" i="14"/>
  <c r="Q229" i="14"/>
  <c r="P229" i="14"/>
  <c r="O229" i="14"/>
  <c r="N229" i="14"/>
  <c r="M229" i="14"/>
  <c r="L229" i="14"/>
  <c r="K229" i="14"/>
  <c r="J229" i="14"/>
  <c r="I229" i="14"/>
  <c r="H229" i="14"/>
  <c r="G229" i="14"/>
  <c r="F229" i="14"/>
  <c r="E229" i="14"/>
  <c r="D229" i="14"/>
  <c r="C229" i="14"/>
  <c r="B229" i="14"/>
  <c r="S228" i="14"/>
  <c r="R228" i="14"/>
  <c r="Q228" i="14"/>
  <c r="P228" i="14"/>
  <c r="O228" i="14"/>
  <c r="N228" i="14"/>
  <c r="M228" i="14"/>
  <c r="L228" i="14"/>
  <c r="K228" i="14"/>
  <c r="J228" i="14"/>
  <c r="I228" i="14"/>
  <c r="H228" i="14"/>
  <c r="G228" i="14"/>
  <c r="F228" i="14"/>
  <c r="E228" i="14"/>
  <c r="D228" i="14"/>
  <c r="C228" i="14"/>
  <c r="B228" i="14"/>
  <c r="S227" i="14"/>
  <c r="R227" i="14"/>
  <c r="Q227" i="14"/>
  <c r="P227" i="14"/>
  <c r="O227" i="14"/>
  <c r="N227" i="14"/>
  <c r="M227" i="14"/>
  <c r="L227" i="14"/>
  <c r="K227" i="14"/>
  <c r="J227" i="14"/>
  <c r="I227" i="14"/>
  <c r="H227" i="14"/>
  <c r="G227" i="14"/>
  <c r="F227" i="14"/>
  <c r="E227" i="14"/>
  <c r="D227" i="14"/>
  <c r="C227" i="14"/>
  <c r="B227" i="14"/>
  <c r="S226" i="14"/>
  <c r="R226" i="14"/>
  <c r="Q226" i="14"/>
  <c r="P226" i="14"/>
  <c r="O226" i="14"/>
  <c r="N226" i="14"/>
  <c r="M226" i="14"/>
  <c r="L226" i="14"/>
  <c r="K226" i="14"/>
  <c r="J226" i="14"/>
  <c r="I226" i="14"/>
  <c r="H226" i="14"/>
  <c r="G226" i="14"/>
  <c r="F226" i="14"/>
  <c r="E226" i="14"/>
  <c r="D226" i="14"/>
  <c r="C226" i="14"/>
  <c r="B226" i="14"/>
  <c r="S225" i="14"/>
  <c r="R225" i="14"/>
  <c r="Q225" i="14"/>
  <c r="P225" i="14"/>
  <c r="O225" i="14"/>
  <c r="N225" i="14"/>
  <c r="M225" i="14"/>
  <c r="L225" i="14"/>
  <c r="K225" i="14"/>
  <c r="J225" i="14"/>
  <c r="I225" i="14"/>
  <c r="H225" i="14"/>
  <c r="G225" i="14"/>
  <c r="F225" i="14"/>
  <c r="E225" i="14"/>
  <c r="D225" i="14"/>
  <c r="C225" i="14"/>
  <c r="B225" i="14"/>
  <c r="S224" i="14"/>
  <c r="R224" i="14"/>
  <c r="Q224" i="14"/>
  <c r="P224" i="14"/>
  <c r="O224" i="14"/>
  <c r="N224" i="14"/>
  <c r="M224" i="14"/>
  <c r="L224" i="14"/>
  <c r="K224" i="14"/>
  <c r="J224" i="14"/>
  <c r="I224" i="14"/>
  <c r="H224" i="14"/>
  <c r="G224" i="14"/>
  <c r="F224" i="14"/>
  <c r="E224" i="14"/>
  <c r="D224" i="14"/>
  <c r="C224" i="14"/>
  <c r="B224" i="14"/>
  <c r="S223" i="14"/>
  <c r="R223" i="14"/>
  <c r="Q223" i="14"/>
  <c r="P223" i="14"/>
  <c r="O223" i="14"/>
  <c r="N223" i="14"/>
  <c r="M223" i="14"/>
  <c r="L223" i="14"/>
  <c r="K223" i="14"/>
  <c r="J223" i="14"/>
  <c r="I223" i="14"/>
  <c r="H223" i="14"/>
  <c r="G223" i="14"/>
  <c r="F223" i="14"/>
  <c r="E223" i="14"/>
  <c r="D223" i="14"/>
  <c r="C223" i="14"/>
  <c r="B223" i="14"/>
  <c r="S222" i="14"/>
  <c r="R222" i="14"/>
  <c r="Q222" i="14"/>
  <c r="P222" i="14"/>
  <c r="O222" i="14"/>
  <c r="N222" i="14"/>
  <c r="M222" i="14"/>
  <c r="L222" i="14"/>
  <c r="K222" i="14"/>
  <c r="J222" i="14"/>
  <c r="I222" i="14"/>
  <c r="H222" i="14"/>
  <c r="G222" i="14"/>
  <c r="F222" i="14"/>
  <c r="E222" i="14"/>
  <c r="D222" i="14"/>
  <c r="C222" i="14"/>
  <c r="B222" i="14"/>
  <c r="S221" i="14"/>
  <c r="R221" i="14"/>
  <c r="Q221" i="14"/>
  <c r="P221" i="14"/>
  <c r="O221" i="14"/>
  <c r="N221" i="14"/>
  <c r="M221" i="14"/>
  <c r="L221" i="14"/>
  <c r="K221" i="14"/>
  <c r="J221" i="14"/>
  <c r="I221" i="14"/>
  <c r="H221" i="14"/>
  <c r="G221" i="14"/>
  <c r="F221" i="14"/>
  <c r="E221" i="14"/>
  <c r="D221" i="14"/>
  <c r="C221" i="14"/>
  <c r="B221" i="14"/>
  <c r="S220" i="14"/>
  <c r="R220" i="14"/>
  <c r="Q220" i="14"/>
  <c r="P220" i="14"/>
  <c r="O220" i="14"/>
  <c r="N220" i="14"/>
  <c r="M220" i="14"/>
  <c r="L220" i="14"/>
  <c r="K220" i="14"/>
  <c r="J220" i="14"/>
  <c r="I220" i="14"/>
  <c r="H220" i="14"/>
  <c r="G220" i="14"/>
  <c r="F220" i="14"/>
  <c r="E220" i="14"/>
  <c r="D220" i="14"/>
  <c r="C220" i="14"/>
  <c r="B220" i="14"/>
  <c r="S219" i="14"/>
  <c r="R219" i="14"/>
  <c r="Q219" i="14"/>
  <c r="P219" i="14"/>
  <c r="O219" i="14"/>
  <c r="N219" i="14"/>
  <c r="M219" i="14"/>
  <c r="L219" i="14"/>
  <c r="K219" i="14"/>
  <c r="J219" i="14"/>
  <c r="I219" i="14"/>
  <c r="H219" i="14"/>
  <c r="G219" i="14"/>
  <c r="F219" i="14"/>
  <c r="E219" i="14"/>
  <c r="D219" i="14"/>
  <c r="C219" i="14"/>
  <c r="B219" i="14"/>
  <c r="S218" i="14"/>
  <c r="R218" i="14"/>
  <c r="Q218" i="14"/>
  <c r="P218" i="14"/>
  <c r="O218" i="14"/>
  <c r="N218" i="14"/>
  <c r="M218" i="14"/>
  <c r="L218" i="14"/>
  <c r="K218" i="14"/>
  <c r="J218" i="14"/>
  <c r="I218" i="14"/>
  <c r="H218" i="14"/>
  <c r="G218" i="14"/>
  <c r="F218" i="14"/>
  <c r="E218" i="14"/>
  <c r="D218" i="14"/>
  <c r="C218" i="14"/>
  <c r="B218" i="14"/>
  <c r="S217" i="14"/>
  <c r="R217" i="14"/>
  <c r="Q217" i="14"/>
  <c r="P217" i="14"/>
  <c r="O217" i="14"/>
  <c r="N217" i="14"/>
  <c r="M217" i="14"/>
  <c r="L217" i="14"/>
  <c r="K217" i="14"/>
  <c r="J217" i="14"/>
  <c r="I217" i="14"/>
  <c r="H217" i="14"/>
  <c r="G217" i="14"/>
  <c r="F217" i="14"/>
  <c r="E217" i="14"/>
  <c r="D217" i="14"/>
  <c r="C217" i="14"/>
  <c r="B217" i="14"/>
  <c r="S216" i="14"/>
  <c r="R216" i="14"/>
  <c r="Q216" i="14"/>
  <c r="P216" i="14"/>
  <c r="O216" i="14"/>
  <c r="N216" i="14"/>
  <c r="M216" i="14"/>
  <c r="L216" i="14"/>
  <c r="K216" i="14"/>
  <c r="J216" i="14"/>
  <c r="I216" i="14"/>
  <c r="H216" i="14"/>
  <c r="G216" i="14"/>
  <c r="F216" i="14"/>
  <c r="E216" i="14"/>
  <c r="D216" i="14"/>
  <c r="C216" i="14"/>
  <c r="B216" i="14"/>
  <c r="S215" i="14"/>
  <c r="R215" i="14"/>
  <c r="Q215" i="14"/>
  <c r="P215" i="14"/>
  <c r="O215" i="14"/>
  <c r="N215" i="14"/>
  <c r="M215" i="14"/>
  <c r="L215" i="14"/>
  <c r="K215" i="14"/>
  <c r="J215" i="14"/>
  <c r="I215" i="14"/>
  <c r="H215" i="14"/>
  <c r="G215" i="14"/>
  <c r="F215" i="14"/>
  <c r="E215" i="14"/>
  <c r="D215" i="14"/>
  <c r="C215" i="14"/>
  <c r="B215" i="14"/>
  <c r="S214" i="14"/>
  <c r="R214" i="14"/>
  <c r="Q214" i="14"/>
  <c r="P214" i="14"/>
  <c r="O214" i="14"/>
  <c r="N214" i="14"/>
  <c r="M214" i="14"/>
  <c r="L214" i="14"/>
  <c r="K214" i="14"/>
  <c r="J214" i="14"/>
  <c r="I214" i="14"/>
  <c r="H214" i="14"/>
  <c r="G214" i="14"/>
  <c r="F214" i="14"/>
  <c r="E214" i="14"/>
  <c r="D214" i="14"/>
  <c r="C214" i="14"/>
  <c r="B214" i="14"/>
  <c r="S213" i="14"/>
  <c r="R213" i="14"/>
  <c r="Q213" i="14"/>
  <c r="P213" i="14"/>
  <c r="O213" i="14"/>
  <c r="N213" i="14"/>
  <c r="M213" i="14"/>
  <c r="L213" i="14"/>
  <c r="K213" i="14"/>
  <c r="J213" i="14"/>
  <c r="I213" i="14"/>
  <c r="H213" i="14"/>
  <c r="G213" i="14"/>
  <c r="F213" i="14"/>
  <c r="E213" i="14"/>
  <c r="D213" i="14"/>
  <c r="C213" i="14"/>
  <c r="B213" i="14"/>
  <c r="S212" i="14"/>
  <c r="R212" i="14"/>
  <c r="Q212" i="14"/>
  <c r="P212" i="14"/>
  <c r="O212" i="14"/>
  <c r="N212" i="14"/>
  <c r="M212" i="14"/>
  <c r="L212" i="14"/>
  <c r="K212" i="14"/>
  <c r="J212" i="14"/>
  <c r="I212" i="14"/>
  <c r="H212" i="14"/>
  <c r="G212" i="14"/>
  <c r="F212" i="14"/>
  <c r="E212" i="14"/>
  <c r="D212" i="14"/>
  <c r="C212" i="14"/>
  <c r="B212" i="14"/>
  <c r="S211" i="14"/>
  <c r="R211" i="14"/>
  <c r="Q211" i="14"/>
  <c r="P211" i="14"/>
  <c r="O211" i="14"/>
  <c r="N211" i="14"/>
  <c r="M211" i="14"/>
  <c r="L211" i="14"/>
  <c r="K211" i="14"/>
  <c r="J211" i="14"/>
  <c r="I211" i="14"/>
  <c r="H211" i="14"/>
  <c r="G211" i="14"/>
  <c r="F211" i="14"/>
  <c r="E211" i="14"/>
  <c r="D211" i="14"/>
  <c r="C211" i="14"/>
  <c r="B211" i="14"/>
  <c r="S210" i="14"/>
  <c r="R210" i="14"/>
  <c r="Q210" i="14"/>
  <c r="P210" i="14"/>
  <c r="O210" i="14"/>
  <c r="N210" i="14"/>
  <c r="M210" i="14"/>
  <c r="L210" i="14"/>
  <c r="K210" i="14"/>
  <c r="J210" i="14"/>
  <c r="I210" i="14"/>
  <c r="H210" i="14"/>
  <c r="G210" i="14"/>
  <c r="F210" i="14"/>
  <c r="E210" i="14"/>
  <c r="D210" i="14"/>
  <c r="C210" i="14"/>
  <c r="B210" i="14"/>
  <c r="S209" i="14"/>
  <c r="R209" i="14"/>
  <c r="Q209" i="14"/>
  <c r="P209" i="14"/>
  <c r="O209" i="14"/>
  <c r="N209" i="14"/>
  <c r="M209" i="14"/>
  <c r="L209" i="14"/>
  <c r="K209" i="14"/>
  <c r="J209" i="14"/>
  <c r="I209" i="14"/>
  <c r="H209" i="14"/>
  <c r="G209" i="14"/>
  <c r="F209" i="14"/>
  <c r="E209" i="14"/>
  <c r="D209" i="14"/>
  <c r="C209" i="14"/>
  <c r="B209" i="14"/>
  <c r="S208" i="14"/>
  <c r="R208" i="14"/>
  <c r="Q208" i="14"/>
  <c r="P208" i="14"/>
  <c r="O208" i="14"/>
  <c r="N208" i="14"/>
  <c r="M208" i="14"/>
  <c r="L208" i="14"/>
  <c r="K208" i="14"/>
  <c r="J208" i="14"/>
  <c r="I208" i="14"/>
  <c r="H208" i="14"/>
  <c r="G208" i="14"/>
  <c r="F208" i="14"/>
  <c r="E208" i="14"/>
  <c r="D208" i="14"/>
  <c r="C208" i="14"/>
  <c r="B208" i="14"/>
  <c r="S207" i="14"/>
  <c r="R207" i="14"/>
  <c r="Q207" i="14"/>
  <c r="P207" i="14"/>
  <c r="O207" i="14"/>
  <c r="N207" i="14"/>
  <c r="M207" i="14"/>
  <c r="L207" i="14"/>
  <c r="K207" i="14"/>
  <c r="J207" i="14"/>
  <c r="I207" i="14"/>
  <c r="H207" i="14"/>
  <c r="G207" i="14"/>
  <c r="F207" i="14"/>
  <c r="E207" i="14"/>
  <c r="D207" i="14"/>
  <c r="C207" i="14"/>
  <c r="B207" i="14"/>
  <c r="S206" i="14"/>
  <c r="R206" i="14"/>
  <c r="Q206" i="14"/>
  <c r="P206" i="14"/>
  <c r="O206" i="14"/>
  <c r="N206" i="14"/>
  <c r="M206" i="14"/>
  <c r="L206" i="14"/>
  <c r="K206" i="14"/>
  <c r="J206" i="14"/>
  <c r="I206" i="14"/>
  <c r="H206" i="14"/>
  <c r="G206" i="14"/>
  <c r="F206" i="14"/>
  <c r="E206" i="14"/>
  <c r="D206" i="14"/>
  <c r="C206" i="14"/>
  <c r="B206" i="14"/>
  <c r="S205" i="14"/>
  <c r="R205" i="14"/>
  <c r="Q205" i="14"/>
  <c r="P205" i="14"/>
  <c r="O205" i="14"/>
  <c r="N205" i="14"/>
  <c r="M205" i="14"/>
  <c r="L205" i="14"/>
  <c r="K205" i="14"/>
  <c r="J205" i="14"/>
  <c r="I205" i="14"/>
  <c r="H205" i="14"/>
  <c r="G205" i="14"/>
  <c r="F205" i="14"/>
  <c r="E205" i="14"/>
  <c r="D205" i="14"/>
  <c r="C205" i="14"/>
  <c r="B205" i="14"/>
  <c r="S204" i="14"/>
  <c r="R204" i="14"/>
  <c r="Q204" i="14"/>
  <c r="P204" i="14"/>
  <c r="O204" i="14"/>
  <c r="N204" i="14"/>
  <c r="M204" i="14"/>
  <c r="L204" i="14"/>
  <c r="K204" i="14"/>
  <c r="J204" i="14"/>
  <c r="I204" i="14"/>
  <c r="H204" i="14"/>
  <c r="G204" i="14"/>
  <c r="F204" i="14"/>
  <c r="E204" i="14"/>
  <c r="D204" i="14"/>
  <c r="C204" i="14"/>
  <c r="B204" i="14"/>
  <c r="S203" i="14"/>
  <c r="R203" i="14"/>
  <c r="Q203" i="14"/>
  <c r="P203" i="14"/>
  <c r="O203" i="14"/>
  <c r="N203" i="14"/>
  <c r="M203" i="14"/>
  <c r="L203" i="14"/>
  <c r="K203" i="14"/>
  <c r="J203" i="14"/>
  <c r="I203" i="14"/>
  <c r="H203" i="14"/>
  <c r="G203" i="14"/>
  <c r="F203" i="14"/>
  <c r="E203" i="14"/>
  <c r="D203" i="14"/>
  <c r="C203" i="14"/>
  <c r="B203" i="14"/>
  <c r="S202" i="14"/>
  <c r="R202" i="14"/>
  <c r="Q202" i="14"/>
  <c r="P202" i="14"/>
  <c r="O202" i="14"/>
  <c r="N202" i="14"/>
  <c r="M202" i="14"/>
  <c r="L202" i="14"/>
  <c r="K202" i="14"/>
  <c r="J202" i="14"/>
  <c r="I202" i="14"/>
  <c r="H202" i="14"/>
  <c r="G202" i="14"/>
  <c r="F202" i="14"/>
  <c r="E202" i="14"/>
  <c r="D202" i="14"/>
  <c r="C202" i="14"/>
  <c r="B202" i="14"/>
  <c r="S201" i="14"/>
  <c r="R201" i="14"/>
  <c r="Q201" i="14"/>
  <c r="P201" i="14"/>
  <c r="O201" i="14"/>
  <c r="N201" i="14"/>
  <c r="M201" i="14"/>
  <c r="L201" i="14"/>
  <c r="K201" i="14"/>
  <c r="J201" i="14"/>
  <c r="I201" i="14"/>
  <c r="H201" i="14"/>
  <c r="G201" i="14"/>
  <c r="F201" i="14"/>
  <c r="E201" i="14"/>
  <c r="D201" i="14"/>
  <c r="C201" i="14"/>
  <c r="B201" i="14"/>
  <c r="S200" i="14"/>
  <c r="R200" i="14"/>
  <c r="Q200" i="14"/>
  <c r="P200" i="14"/>
  <c r="O200" i="14"/>
  <c r="N200" i="14"/>
  <c r="M200" i="14"/>
  <c r="L200" i="14"/>
  <c r="K200" i="14"/>
  <c r="J200" i="14"/>
  <c r="I200" i="14"/>
  <c r="H200" i="14"/>
  <c r="G200" i="14"/>
  <c r="F200" i="14"/>
  <c r="E200" i="14"/>
  <c r="D200" i="14"/>
  <c r="C200" i="14"/>
  <c r="B200" i="14"/>
  <c r="S199" i="14"/>
  <c r="R199" i="14"/>
  <c r="Q199" i="14"/>
  <c r="P199" i="14"/>
  <c r="O199" i="14"/>
  <c r="N199" i="14"/>
  <c r="M199" i="14"/>
  <c r="L199" i="14"/>
  <c r="K199" i="14"/>
  <c r="J199" i="14"/>
  <c r="I199" i="14"/>
  <c r="H199" i="14"/>
  <c r="G199" i="14"/>
  <c r="F199" i="14"/>
  <c r="E199" i="14"/>
  <c r="D199" i="14"/>
  <c r="C199" i="14"/>
  <c r="B199" i="14"/>
  <c r="S198" i="14"/>
  <c r="R198" i="14"/>
  <c r="Q198" i="14"/>
  <c r="P198" i="14"/>
  <c r="O198" i="14"/>
  <c r="N198" i="14"/>
  <c r="M198" i="14"/>
  <c r="L198" i="14"/>
  <c r="K198" i="14"/>
  <c r="J198" i="14"/>
  <c r="I198" i="14"/>
  <c r="H198" i="14"/>
  <c r="G198" i="14"/>
  <c r="F198" i="14"/>
  <c r="E198" i="14"/>
  <c r="D198" i="14"/>
  <c r="C198" i="14"/>
  <c r="B198" i="14"/>
  <c r="S197" i="14"/>
  <c r="R197" i="14"/>
  <c r="Q197" i="14"/>
  <c r="P197" i="14"/>
  <c r="O197" i="14"/>
  <c r="N197" i="14"/>
  <c r="M197" i="14"/>
  <c r="L197" i="14"/>
  <c r="K197" i="14"/>
  <c r="J197" i="14"/>
  <c r="I197" i="14"/>
  <c r="H197" i="14"/>
  <c r="G197" i="14"/>
  <c r="F197" i="14"/>
  <c r="E197" i="14"/>
  <c r="D197" i="14"/>
  <c r="C197" i="14"/>
  <c r="B197" i="14"/>
  <c r="S196" i="14"/>
  <c r="R196" i="14"/>
  <c r="Q196" i="14"/>
  <c r="P196" i="14"/>
  <c r="O196" i="14"/>
  <c r="N196" i="14"/>
  <c r="M196" i="14"/>
  <c r="L196" i="14"/>
  <c r="K196" i="14"/>
  <c r="J196" i="14"/>
  <c r="I196" i="14"/>
  <c r="H196" i="14"/>
  <c r="G196" i="14"/>
  <c r="F196" i="14"/>
  <c r="E196" i="14"/>
  <c r="D196" i="14"/>
  <c r="C196" i="14"/>
  <c r="B196" i="14"/>
  <c r="S195" i="14"/>
  <c r="R195" i="14"/>
  <c r="Q195" i="14"/>
  <c r="P195" i="14"/>
  <c r="O195" i="14"/>
  <c r="N195" i="14"/>
  <c r="M195" i="14"/>
  <c r="L195" i="14"/>
  <c r="K195" i="14"/>
  <c r="J195" i="14"/>
  <c r="I195" i="14"/>
  <c r="H195" i="14"/>
  <c r="G195" i="14"/>
  <c r="F195" i="14"/>
  <c r="E195" i="14"/>
  <c r="D195" i="14"/>
  <c r="C195" i="14"/>
  <c r="B195" i="14"/>
  <c r="S194" i="14"/>
  <c r="R194" i="14"/>
  <c r="Q194" i="14"/>
  <c r="P194" i="14"/>
  <c r="O194" i="14"/>
  <c r="N194" i="14"/>
  <c r="M194" i="14"/>
  <c r="L194" i="14"/>
  <c r="K194" i="14"/>
  <c r="J194" i="14"/>
  <c r="I194" i="14"/>
  <c r="H194" i="14"/>
  <c r="G194" i="14"/>
  <c r="F194" i="14"/>
  <c r="E194" i="14"/>
  <c r="D194" i="14"/>
  <c r="C194" i="14"/>
  <c r="B194" i="14"/>
  <c r="S193" i="14"/>
  <c r="R193" i="14"/>
  <c r="Q193" i="14"/>
  <c r="P193" i="14"/>
  <c r="O193" i="14"/>
  <c r="N193" i="14"/>
  <c r="M193" i="14"/>
  <c r="L193" i="14"/>
  <c r="K193" i="14"/>
  <c r="J193" i="14"/>
  <c r="I193" i="14"/>
  <c r="H193" i="14"/>
  <c r="G193" i="14"/>
  <c r="F193" i="14"/>
  <c r="E193" i="14"/>
  <c r="D193" i="14"/>
  <c r="C193" i="14"/>
  <c r="B193" i="14"/>
  <c r="S192" i="14"/>
  <c r="R192" i="14"/>
  <c r="Q192" i="14"/>
  <c r="P192" i="14"/>
  <c r="O192" i="14"/>
  <c r="N192" i="14"/>
  <c r="M192" i="14"/>
  <c r="L192" i="14"/>
  <c r="K192" i="14"/>
  <c r="J192" i="14"/>
  <c r="I192" i="14"/>
  <c r="H192" i="14"/>
  <c r="G192" i="14"/>
  <c r="F192" i="14"/>
  <c r="E192" i="14"/>
  <c r="D192" i="14"/>
  <c r="C192" i="14"/>
  <c r="B192" i="14"/>
  <c r="S191" i="14"/>
  <c r="R191" i="14"/>
  <c r="Q191" i="14"/>
  <c r="P191" i="14"/>
  <c r="O191" i="14"/>
  <c r="N191" i="14"/>
  <c r="M191" i="14"/>
  <c r="L191" i="14"/>
  <c r="K191" i="14"/>
  <c r="J191" i="14"/>
  <c r="I191" i="14"/>
  <c r="H191" i="14"/>
  <c r="G191" i="14"/>
  <c r="F191" i="14"/>
  <c r="E191" i="14"/>
  <c r="D191" i="14"/>
  <c r="C191" i="14"/>
  <c r="B191" i="14"/>
  <c r="S190" i="14"/>
  <c r="R190" i="14"/>
  <c r="Q190" i="14"/>
  <c r="P190" i="14"/>
  <c r="O190" i="14"/>
  <c r="N190" i="14"/>
  <c r="M190" i="14"/>
  <c r="L190" i="14"/>
  <c r="K190" i="14"/>
  <c r="J190" i="14"/>
  <c r="I190" i="14"/>
  <c r="H190" i="14"/>
  <c r="G190" i="14"/>
  <c r="F190" i="14"/>
  <c r="E190" i="14"/>
  <c r="D190" i="14"/>
  <c r="C190" i="14"/>
  <c r="B190" i="14"/>
  <c r="S189" i="14"/>
  <c r="R189" i="14"/>
  <c r="Q189" i="14"/>
  <c r="P189" i="14"/>
  <c r="O189" i="14"/>
  <c r="N189" i="14"/>
  <c r="M189" i="14"/>
  <c r="L189" i="14"/>
  <c r="K189" i="14"/>
  <c r="J189" i="14"/>
  <c r="I189" i="14"/>
  <c r="H189" i="14"/>
  <c r="G189" i="14"/>
  <c r="F189" i="14"/>
  <c r="E189" i="14"/>
  <c r="D189" i="14"/>
  <c r="C189" i="14"/>
  <c r="B189" i="14"/>
  <c r="S188" i="14"/>
  <c r="R188" i="14"/>
  <c r="Q188" i="14"/>
  <c r="P188" i="14"/>
  <c r="O188" i="14"/>
  <c r="N188" i="14"/>
  <c r="M188" i="14"/>
  <c r="L188" i="14"/>
  <c r="K188" i="14"/>
  <c r="J188" i="14"/>
  <c r="I188" i="14"/>
  <c r="H188" i="14"/>
  <c r="G188" i="14"/>
  <c r="F188" i="14"/>
  <c r="E188" i="14"/>
  <c r="D188" i="14"/>
  <c r="C188" i="14"/>
  <c r="B188" i="14"/>
  <c r="S187" i="14"/>
  <c r="R187" i="14"/>
  <c r="Q187" i="14"/>
  <c r="P187" i="14"/>
  <c r="O187" i="14"/>
  <c r="N187" i="14"/>
  <c r="M187" i="14"/>
  <c r="L187" i="14"/>
  <c r="K187" i="14"/>
  <c r="J187" i="14"/>
  <c r="I187" i="14"/>
  <c r="H187" i="14"/>
  <c r="G187" i="14"/>
  <c r="F187" i="14"/>
  <c r="E187" i="14"/>
  <c r="D187" i="14"/>
  <c r="C187" i="14"/>
  <c r="B187" i="14"/>
  <c r="S186" i="14"/>
  <c r="R186" i="14"/>
  <c r="Q186" i="14"/>
  <c r="P186" i="14"/>
  <c r="O186" i="14"/>
  <c r="N186" i="14"/>
  <c r="M186" i="14"/>
  <c r="L186" i="14"/>
  <c r="K186" i="14"/>
  <c r="J186" i="14"/>
  <c r="I186" i="14"/>
  <c r="H186" i="14"/>
  <c r="G186" i="14"/>
  <c r="F186" i="14"/>
  <c r="E186" i="14"/>
  <c r="D186" i="14"/>
  <c r="C186" i="14"/>
  <c r="B186" i="14"/>
  <c r="S185" i="14"/>
  <c r="R185" i="14"/>
  <c r="Q185" i="14"/>
  <c r="P185" i="14"/>
  <c r="O185" i="14"/>
  <c r="N185" i="14"/>
  <c r="M185" i="14"/>
  <c r="L185" i="14"/>
  <c r="K185" i="14"/>
  <c r="J185" i="14"/>
  <c r="I185" i="14"/>
  <c r="H185" i="14"/>
  <c r="G185" i="14"/>
  <c r="F185" i="14"/>
  <c r="E185" i="14"/>
  <c r="D185" i="14"/>
  <c r="C185" i="14"/>
  <c r="B185" i="14"/>
  <c r="S184" i="14"/>
  <c r="R184" i="14"/>
  <c r="Q184" i="14"/>
  <c r="P184" i="14"/>
  <c r="O184" i="14"/>
  <c r="N184" i="14"/>
  <c r="M184" i="14"/>
  <c r="L184" i="14"/>
  <c r="K184" i="14"/>
  <c r="J184" i="14"/>
  <c r="I184" i="14"/>
  <c r="H184" i="14"/>
  <c r="G184" i="14"/>
  <c r="F184" i="14"/>
  <c r="E184" i="14"/>
  <c r="D184" i="14"/>
  <c r="C184" i="14"/>
  <c r="B184" i="14"/>
  <c r="S183" i="14"/>
  <c r="R183" i="14"/>
  <c r="Q183" i="14"/>
  <c r="P183" i="14"/>
  <c r="O183" i="14"/>
  <c r="N183" i="14"/>
  <c r="M183" i="14"/>
  <c r="L183" i="14"/>
  <c r="K183" i="14"/>
  <c r="J183" i="14"/>
  <c r="I183" i="14"/>
  <c r="H183" i="14"/>
  <c r="G183" i="14"/>
  <c r="F183" i="14"/>
  <c r="E183" i="14"/>
  <c r="D183" i="14"/>
  <c r="C183" i="14"/>
  <c r="B183" i="14"/>
  <c r="S182" i="14"/>
  <c r="R182" i="14"/>
  <c r="Q182" i="14"/>
  <c r="P182" i="14"/>
  <c r="O182" i="14"/>
  <c r="N182" i="14"/>
  <c r="M182" i="14"/>
  <c r="L182" i="14"/>
  <c r="K182" i="14"/>
  <c r="J182" i="14"/>
  <c r="I182" i="14"/>
  <c r="H182" i="14"/>
  <c r="G182" i="14"/>
  <c r="F182" i="14"/>
  <c r="E182" i="14"/>
  <c r="D182" i="14"/>
  <c r="C182" i="14"/>
  <c r="B182" i="14"/>
  <c r="S181" i="14"/>
  <c r="R181" i="14"/>
  <c r="Q181" i="14"/>
  <c r="P181" i="14"/>
  <c r="O181" i="14"/>
  <c r="N181" i="14"/>
  <c r="M181" i="14"/>
  <c r="L181" i="14"/>
  <c r="K181" i="14"/>
  <c r="J181" i="14"/>
  <c r="I181" i="14"/>
  <c r="H181" i="14"/>
  <c r="G181" i="14"/>
  <c r="F181" i="14"/>
  <c r="E181" i="14"/>
  <c r="D181" i="14"/>
  <c r="C181" i="14"/>
  <c r="B181" i="14"/>
  <c r="S180" i="14"/>
  <c r="R180" i="14"/>
  <c r="Q180" i="14"/>
  <c r="P180" i="14"/>
  <c r="O180" i="14"/>
  <c r="N180" i="14"/>
  <c r="M180" i="14"/>
  <c r="L180" i="14"/>
  <c r="K180" i="14"/>
  <c r="J180" i="14"/>
  <c r="I180" i="14"/>
  <c r="H180" i="14"/>
  <c r="G180" i="14"/>
  <c r="F180" i="14"/>
  <c r="E180" i="14"/>
  <c r="D180" i="14"/>
  <c r="C180" i="14"/>
  <c r="B180" i="14"/>
  <c r="S179" i="14"/>
  <c r="R179" i="14"/>
  <c r="Q179" i="14"/>
  <c r="P179" i="14"/>
  <c r="O179" i="14"/>
  <c r="N179" i="14"/>
  <c r="M179" i="14"/>
  <c r="L179" i="14"/>
  <c r="K179" i="14"/>
  <c r="J179" i="14"/>
  <c r="I179" i="14"/>
  <c r="H179" i="14"/>
  <c r="G179" i="14"/>
  <c r="F179" i="14"/>
  <c r="E179" i="14"/>
  <c r="D179" i="14"/>
  <c r="C179" i="14"/>
  <c r="B179" i="14"/>
  <c r="S178" i="14"/>
  <c r="R178" i="14"/>
  <c r="Q178" i="14"/>
  <c r="P178" i="14"/>
  <c r="O178" i="14"/>
  <c r="N178" i="14"/>
  <c r="M178" i="14"/>
  <c r="L178" i="14"/>
  <c r="K178" i="14"/>
  <c r="J178" i="14"/>
  <c r="I178" i="14"/>
  <c r="H178" i="14"/>
  <c r="G178" i="14"/>
  <c r="F178" i="14"/>
  <c r="E178" i="14"/>
  <c r="D178" i="14"/>
  <c r="C178" i="14"/>
  <c r="B178" i="14"/>
  <c r="S177" i="14"/>
  <c r="R177" i="14"/>
  <c r="Q177" i="14"/>
  <c r="P177" i="14"/>
  <c r="O177" i="14"/>
  <c r="N177" i="14"/>
  <c r="M177" i="14"/>
  <c r="L177" i="14"/>
  <c r="K177" i="14"/>
  <c r="J177" i="14"/>
  <c r="I177" i="14"/>
  <c r="H177" i="14"/>
  <c r="G177" i="14"/>
  <c r="F177" i="14"/>
  <c r="E177" i="14"/>
  <c r="D177" i="14"/>
  <c r="C177" i="14"/>
  <c r="B177" i="14"/>
  <c r="S176" i="14"/>
  <c r="R176" i="14"/>
  <c r="Q176" i="14"/>
  <c r="P176" i="14"/>
  <c r="O176" i="14"/>
  <c r="N176" i="14"/>
  <c r="M176" i="14"/>
  <c r="L176" i="14"/>
  <c r="K176" i="14"/>
  <c r="J176" i="14"/>
  <c r="I176" i="14"/>
  <c r="H176" i="14"/>
  <c r="G176" i="14"/>
  <c r="F176" i="14"/>
  <c r="E176" i="14"/>
  <c r="D176" i="14"/>
  <c r="C176" i="14"/>
  <c r="B176" i="14"/>
  <c r="S175" i="14"/>
  <c r="R175" i="14"/>
  <c r="Q175" i="14"/>
  <c r="P175" i="14"/>
  <c r="O175" i="14"/>
  <c r="N175" i="14"/>
  <c r="M175" i="14"/>
  <c r="L175" i="14"/>
  <c r="K175" i="14"/>
  <c r="J175" i="14"/>
  <c r="I175" i="14"/>
  <c r="H175" i="14"/>
  <c r="G175" i="14"/>
  <c r="F175" i="14"/>
  <c r="E175" i="14"/>
  <c r="D175" i="14"/>
  <c r="C175" i="14"/>
  <c r="B175" i="14"/>
  <c r="S174" i="14"/>
  <c r="R174" i="14"/>
  <c r="Q174" i="14"/>
  <c r="P174" i="14"/>
  <c r="O174" i="14"/>
  <c r="N174" i="14"/>
  <c r="M174" i="14"/>
  <c r="L174" i="14"/>
  <c r="K174" i="14"/>
  <c r="J174" i="14"/>
  <c r="I174" i="14"/>
  <c r="H174" i="14"/>
  <c r="G174" i="14"/>
  <c r="F174" i="14"/>
  <c r="E174" i="14"/>
  <c r="D174" i="14"/>
  <c r="C174" i="14"/>
  <c r="B174" i="14"/>
  <c r="S173" i="14"/>
  <c r="R173" i="14"/>
  <c r="Q173" i="14"/>
  <c r="P173" i="14"/>
  <c r="O173" i="14"/>
  <c r="N173" i="14"/>
  <c r="M173" i="14"/>
  <c r="L173" i="14"/>
  <c r="K173" i="14"/>
  <c r="J173" i="14"/>
  <c r="I173" i="14"/>
  <c r="H173" i="14"/>
  <c r="G173" i="14"/>
  <c r="F173" i="14"/>
  <c r="E173" i="14"/>
  <c r="D173" i="14"/>
  <c r="C173" i="14"/>
  <c r="B173" i="14"/>
  <c r="S172" i="14"/>
  <c r="R172" i="14"/>
  <c r="Q172" i="14"/>
  <c r="P172" i="14"/>
  <c r="O172" i="14"/>
  <c r="N172" i="14"/>
  <c r="M172" i="14"/>
  <c r="L172" i="14"/>
  <c r="K172" i="14"/>
  <c r="J172" i="14"/>
  <c r="I172" i="14"/>
  <c r="H172" i="14"/>
  <c r="G172" i="14"/>
  <c r="F172" i="14"/>
  <c r="E172" i="14"/>
  <c r="D172" i="14"/>
  <c r="C172" i="14"/>
  <c r="B172" i="14"/>
  <c r="S171" i="14"/>
  <c r="R171" i="14"/>
  <c r="Q171" i="14"/>
  <c r="P171" i="14"/>
  <c r="O171" i="14"/>
  <c r="N171" i="14"/>
  <c r="M171" i="14"/>
  <c r="L171" i="14"/>
  <c r="K171" i="14"/>
  <c r="J171" i="14"/>
  <c r="I171" i="14"/>
  <c r="H171" i="14"/>
  <c r="G171" i="14"/>
  <c r="F171" i="14"/>
  <c r="E171" i="14"/>
  <c r="D171" i="14"/>
  <c r="C171" i="14"/>
  <c r="B171" i="14"/>
  <c r="S170" i="14"/>
  <c r="R170" i="14"/>
  <c r="Q170" i="14"/>
  <c r="P170" i="14"/>
  <c r="O170" i="14"/>
  <c r="N170" i="14"/>
  <c r="M170" i="14"/>
  <c r="L170" i="14"/>
  <c r="K170" i="14"/>
  <c r="J170" i="14"/>
  <c r="I170" i="14"/>
  <c r="H170" i="14"/>
  <c r="G170" i="14"/>
  <c r="F170" i="14"/>
  <c r="E170" i="14"/>
  <c r="D170" i="14"/>
  <c r="C170" i="14"/>
  <c r="B170" i="14"/>
  <c r="S169" i="14"/>
  <c r="R169" i="14"/>
  <c r="Q169" i="14"/>
  <c r="P169" i="14"/>
  <c r="O169" i="14"/>
  <c r="N169" i="14"/>
  <c r="M169" i="14"/>
  <c r="L169" i="14"/>
  <c r="K169" i="14"/>
  <c r="J169" i="14"/>
  <c r="I169" i="14"/>
  <c r="H169" i="14"/>
  <c r="G169" i="14"/>
  <c r="F169" i="14"/>
  <c r="E169" i="14"/>
  <c r="D169" i="14"/>
  <c r="C169" i="14"/>
  <c r="B169" i="14"/>
  <c r="S168" i="14"/>
  <c r="R168" i="14"/>
  <c r="Q168" i="14"/>
  <c r="P168" i="14"/>
  <c r="O168" i="14"/>
  <c r="N168" i="14"/>
  <c r="M168" i="14"/>
  <c r="L168" i="14"/>
  <c r="K168" i="14"/>
  <c r="J168" i="14"/>
  <c r="I168" i="14"/>
  <c r="H168" i="14"/>
  <c r="G168" i="14"/>
  <c r="F168" i="14"/>
  <c r="E168" i="14"/>
  <c r="D168" i="14"/>
  <c r="C168" i="14"/>
  <c r="B168" i="14"/>
  <c r="S167" i="14"/>
  <c r="R167" i="14"/>
  <c r="Q167" i="14"/>
  <c r="P167" i="14"/>
  <c r="O167" i="14"/>
  <c r="N167" i="14"/>
  <c r="M167" i="14"/>
  <c r="L167" i="14"/>
  <c r="K167" i="14"/>
  <c r="J167" i="14"/>
  <c r="I167" i="14"/>
  <c r="H167" i="14"/>
  <c r="G167" i="14"/>
  <c r="F167" i="14"/>
  <c r="E167" i="14"/>
  <c r="D167" i="14"/>
  <c r="C167" i="14"/>
  <c r="B167" i="14"/>
  <c r="S166" i="14"/>
  <c r="R166" i="14"/>
  <c r="Q166" i="14"/>
  <c r="P166" i="14"/>
  <c r="O166" i="14"/>
  <c r="N166" i="14"/>
  <c r="M166" i="14"/>
  <c r="L166" i="14"/>
  <c r="K166" i="14"/>
  <c r="J166" i="14"/>
  <c r="I166" i="14"/>
  <c r="H166" i="14"/>
  <c r="G166" i="14"/>
  <c r="F166" i="14"/>
  <c r="E166" i="14"/>
  <c r="D166" i="14"/>
  <c r="C166" i="14"/>
  <c r="B166" i="14"/>
  <c r="S165" i="14"/>
  <c r="R165" i="14"/>
  <c r="Q165" i="14"/>
  <c r="P165" i="14"/>
  <c r="O165" i="14"/>
  <c r="N165" i="14"/>
  <c r="M165" i="14"/>
  <c r="L165" i="14"/>
  <c r="K165" i="14"/>
  <c r="J165" i="14"/>
  <c r="I165" i="14"/>
  <c r="H165" i="14"/>
  <c r="G165" i="14"/>
  <c r="F165" i="14"/>
  <c r="E165" i="14"/>
  <c r="D165" i="14"/>
  <c r="C165" i="14"/>
  <c r="B165" i="14"/>
  <c r="S164" i="14"/>
  <c r="R164" i="14"/>
  <c r="Q164" i="14"/>
  <c r="P164" i="14"/>
  <c r="O164" i="14"/>
  <c r="N164" i="14"/>
  <c r="M164" i="14"/>
  <c r="L164" i="14"/>
  <c r="K164" i="14"/>
  <c r="J164" i="14"/>
  <c r="I164" i="14"/>
  <c r="H164" i="14"/>
  <c r="G164" i="14"/>
  <c r="F164" i="14"/>
  <c r="E164" i="14"/>
  <c r="D164" i="14"/>
  <c r="C164" i="14"/>
  <c r="B164" i="14"/>
  <c r="S163" i="14"/>
  <c r="R163" i="14"/>
  <c r="Q163" i="14"/>
  <c r="P163" i="14"/>
  <c r="O163" i="14"/>
  <c r="N163" i="14"/>
  <c r="M163" i="14"/>
  <c r="L163" i="14"/>
  <c r="K163" i="14"/>
  <c r="J163" i="14"/>
  <c r="I163" i="14"/>
  <c r="H163" i="14"/>
  <c r="G163" i="14"/>
  <c r="F163" i="14"/>
  <c r="E163" i="14"/>
  <c r="D163" i="14"/>
  <c r="C163" i="14"/>
  <c r="B163" i="14"/>
  <c r="S162" i="14"/>
  <c r="R162" i="14"/>
  <c r="Q162" i="14"/>
  <c r="P162" i="14"/>
  <c r="O162" i="14"/>
  <c r="N162" i="14"/>
  <c r="M162" i="14"/>
  <c r="L162" i="14"/>
  <c r="K162" i="14"/>
  <c r="J162" i="14"/>
  <c r="I162" i="14"/>
  <c r="H162" i="14"/>
  <c r="G162" i="14"/>
  <c r="F162" i="14"/>
  <c r="E162" i="14"/>
  <c r="D162" i="14"/>
  <c r="C162" i="14"/>
  <c r="B162" i="14"/>
  <c r="S161" i="14"/>
  <c r="R161" i="14"/>
  <c r="Q161" i="14"/>
  <c r="P161" i="14"/>
  <c r="O161" i="14"/>
  <c r="N161" i="14"/>
  <c r="M161" i="14"/>
  <c r="L161" i="14"/>
  <c r="K161" i="14"/>
  <c r="J161" i="14"/>
  <c r="I161" i="14"/>
  <c r="H161" i="14"/>
  <c r="G161" i="14"/>
  <c r="F161" i="14"/>
  <c r="E161" i="14"/>
  <c r="D161" i="14"/>
  <c r="C161" i="14"/>
  <c r="B161" i="14"/>
  <c r="S160" i="14"/>
  <c r="R160" i="14"/>
  <c r="Q160" i="14"/>
  <c r="P160" i="14"/>
  <c r="O160" i="14"/>
  <c r="N160" i="14"/>
  <c r="M160" i="14"/>
  <c r="L160" i="14"/>
  <c r="K160" i="14"/>
  <c r="J160" i="14"/>
  <c r="I160" i="14"/>
  <c r="H160" i="14"/>
  <c r="G160" i="14"/>
  <c r="F160" i="14"/>
  <c r="E160" i="14"/>
  <c r="D160" i="14"/>
  <c r="C160" i="14"/>
  <c r="B160" i="14"/>
  <c r="S159" i="14"/>
  <c r="R159" i="14"/>
  <c r="Q159" i="14"/>
  <c r="P159" i="14"/>
  <c r="O159" i="14"/>
  <c r="N159" i="14"/>
  <c r="M159" i="14"/>
  <c r="L159" i="14"/>
  <c r="K159" i="14"/>
  <c r="J159" i="14"/>
  <c r="I159" i="14"/>
  <c r="H159" i="14"/>
  <c r="G159" i="14"/>
  <c r="F159" i="14"/>
  <c r="E159" i="14"/>
  <c r="D159" i="14"/>
  <c r="C159" i="14"/>
  <c r="B159" i="14"/>
  <c r="S158" i="14"/>
  <c r="R158" i="14"/>
  <c r="Q158" i="14"/>
  <c r="P158" i="14"/>
  <c r="O158" i="14"/>
  <c r="N158" i="14"/>
  <c r="M158" i="14"/>
  <c r="L158" i="14"/>
  <c r="K158" i="14"/>
  <c r="J158" i="14"/>
  <c r="I158" i="14"/>
  <c r="H158" i="14"/>
  <c r="G158" i="14"/>
  <c r="F158" i="14"/>
  <c r="E158" i="14"/>
  <c r="D158" i="14"/>
  <c r="C158" i="14"/>
  <c r="B158" i="14"/>
  <c r="S157" i="14"/>
  <c r="R157" i="14"/>
  <c r="Q157" i="14"/>
  <c r="P157" i="14"/>
  <c r="O157" i="14"/>
  <c r="N157" i="14"/>
  <c r="M157" i="14"/>
  <c r="L157" i="14"/>
  <c r="K157" i="14"/>
  <c r="J157" i="14"/>
  <c r="I157" i="14"/>
  <c r="H157" i="14"/>
  <c r="G157" i="14"/>
  <c r="F157" i="14"/>
  <c r="E157" i="14"/>
  <c r="D157" i="14"/>
  <c r="C157" i="14"/>
  <c r="B157" i="14"/>
  <c r="S156" i="14"/>
  <c r="R156" i="14"/>
  <c r="Q156" i="14"/>
  <c r="P156" i="14"/>
  <c r="O156" i="14"/>
  <c r="N156" i="14"/>
  <c r="M156" i="14"/>
  <c r="L156" i="14"/>
  <c r="K156" i="14"/>
  <c r="J156" i="14"/>
  <c r="I156" i="14"/>
  <c r="H156" i="14"/>
  <c r="G156" i="14"/>
  <c r="F156" i="14"/>
  <c r="E156" i="14"/>
  <c r="D156" i="14"/>
  <c r="C156" i="14"/>
  <c r="B156" i="14"/>
  <c r="S155" i="14"/>
  <c r="R155" i="14"/>
  <c r="Q155" i="14"/>
  <c r="P155" i="14"/>
  <c r="O155" i="14"/>
  <c r="N155" i="14"/>
  <c r="M155" i="14"/>
  <c r="L155" i="14"/>
  <c r="K155" i="14"/>
  <c r="J155" i="14"/>
  <c r="I155" i="14"/>
  <c r="H155" i="14"/>
  <c r="G155" i="14"/>
  <c r="F155" i="14"/>
  <c r="E155" i="14"/>
  <c r="D155" i="14"/>
  <c r="C155" i="14"/>
  <c r="B155" i="14"/>
  <c r="S154" i="14"/>
  <c r="R154" i="14"/>
  <c r="Q154" i="14"/>
  <c r="P154" i="14"/>
  <c r="O154" i="14"/>
  <c r="N154" i="14"/>
  <c r="M154" i="14"/>
  <c r="L154" i="14"/>
  <c r="K154" i="14"/>
  <c r="J154" i="14"/>
  <c r="I154" i="14"/>
  <c r="H154" i="14"/>
  <c r="G154" i="14"/>
  <c r="F154" i="14"/>
  <c r="E154" i="14"/>
  <c r="D154" i="14"/>
  <c r="C154" i="14"/>
  <c r="B154" i="14"/>
  <c r="S153" i="14"/>
  <c r="R153" i="14"/>
  <c r="Q153" i="14"/>
  <c r="P153" i="14"/>
  <c r="O153" i="14"/>
  <c r="N153" i="14"/>
  <c r="M153" i="14"/>
  <c r="L153" i="14"/>
  <c r="K153" i="14"/>
  <c r="J153" i="14"/>
  <c r="I153" i="14"/>
  <c r="H153" i="14"/>
  <c r="G153" i="14"/>
  <c r="F153" i="14"/>
  <c r="E153" i="14"/>
  <c r="D153" i="14"/>
  <c r="C153" i="14"/>
  <c r="B153" i="14"/>
  <c r="S152" i="14"/>
  <c r="R152" i="14"/>
  <c r="Q152" i="14"/>
  <c r="P152" i="14"/>
  <c r="O152" i="14"/>
  <c r="N152" i="14"/>
  <c r="M152" i="14"/>
  <c r="L152" i="14"/>
  <c r="K152" i="14"/>
  <c r="J152" i="14"/>
  <c r="I152" i="14"/>
  <c r="H152" i="14"/>
  <c r="G152" i="14"/>
  <c r="F152" i="14"/>
  <c r="E152" i="14"/>
  <c r="D152" i="14"/>
  <c r="C152" i="14"/>
  <c r="B152" i="14"/>
  <c r="S151" i="14"/>
  <c r="R151" i="14"/>
  <c r="Q151" i="14"/>
  <c r="P151" i="14"/>
  <c r="O151" i="14"/>
  <c r="N151" i="14"/>
  <c r="M151" i="14"/>
  <c r="L151" i="14"/>
  <c r="K151" i="14"/>
  <c r="J151" i="14"/>
  <c r="I151" i="14"/>
  <c r="H151" i="14"/>
  <c r="G151" i="14"/>
  <c r="F151" i="14"/>
  <c r="E151" i="14"/>
  <c r="D151" i="14"/>
  <c r="C151" i="14"/>
  <c r="B151" i="14"/>
  <c r="S150" i="14"/>
  <c r="R150" i="14"/>
  <c r="Q150" i="14"/>
  <c r="P150" i="14"/>
  <c r="O150" i="14"/>
  <c r="N150" i="14"/>
  <c r="M150" i="14"/>
  <c r="L150" i="14"/>
  <c r="K150" i="14"/>
  <c r="J150" i="14"/>
  <c r="I150" i="14"/>
  <c r="H150" i="14"/>
  <c r="G150" i="14"/>
  <c r="F150" i="14"/>
  <c r="E150" i="14"/>
  <c r="D150" i="14"/>
  <c r="C150" i="14"/>
  <c r="B150" i="14"/>
  <c r="S149" i="14"/>
  <c r="R149" i="14"/>
  <c r="Q149" i="14"/>
  <c r="P149" i="14"/>
  <c r="O149" i="14"/>
  <c r="N149" i="14"/>
  <c r="M149" i="14"/>
  <c r="L149" i="14"/>
  <c r="K149" i="14"/>
  <c r="J149" i="14"/>
  <c r="I149" i="14"/>
  <c r="H149" i="14"/>
  <c r="G149" i="14"/>
  <c r="F149" i="14"/>
  <c r="E149" i="14"/>
  <c r="D149" i="14"/>
  <c r="C149" i="14"/>
  <c r="B149" i="14"/>
  <c r="S148" i="14"/>
  <c r="R148" i="14"/>
  <c r="Q148" i="14"/>
  <c r="P148" i="14"/>
  <c r="O148" i="14"/>
  <c r="N148" i="14"/>
  <c r="M148" i="14"/>
  <c r="L148" i="14"/>
  <c r="K148" i="14"/>
  <c r="J148" i="14"/>
  <c r="I148" i="14"/>
  <c r="H148" i="14"/>
  <c r="G148" i="14"/>
  <c r="F148" i="14"/>
  <c r="E148" i="14"/>
  <c r="D148" i="14"/>
  <c r="C148" i="14"/>
  <c r="B148" i="14"/>
  <c r="S147" i="14"/>
  <c r="R147" i="14"/>
  <c r="Q147" i="14"/>
  <c r="P147" i="14"/>
  <c r="O147" i="14"/>
  <c r="N147" i="14"/>
  <c r="M147" i="14"/>
  <c r="L147" i="14"/>
  <c r="K147" i="14"/>
  <c r="J147" i="14"/>
  <c r="I147" i="14"/>
  <c r="H147" i="14"/>
  <c r="G147" i="14"/>
  <c r="F147" i="14"/>
  <c r="E147" i="14"/>
  <c r="D147" i="14"/>
  <c r="C147" i="14"/>
  <c r="B147" i="14"/>
  <c r="S146" i="14"/>
  <c r="R146" i="14"/>
  <c r="Q146" i="14"/>
  <c r="P146" i="14"/>
  <c r="O146" i="14"/>
  <c r="N146" i="14"/>
  <c r="M146" i="14"/>
  <c r="L146" i="14"/>
  <c r="K146" i="14"/>
  <c r="J146" i="14"/>
  <c r="I146" i="14"/>
  <c r="H146" i="14"/>
  <c r="G146" i="14"/>
  <c r="F146" i="14"/>
  <c r="E146" i="14"/>
  <c r="D146" i="14"/>
  <c r="C146" i="14"/>
  <c r="B146" i="14"/>
  <c r="S145" i="14"/>
  <c r="R145" i="14"/>
  <c r="Q145" i="14"/>
  <c r="P145" i="14"/>
  <c r="O145" i="14"/>
  <c r="N145" i="14"/>
  <c r="M145" i="14"/>
  <c r="L145" i="14"/>
  <c r="K145" i="14"/>
  <c r="J145" i="14"/>
  <c r="I145" i="14"/>
  <c r="H145" i="14"/>
  <c r="G145" i="14"/>
  <c r="F145" i="14"/>
  <c r="E145" i="14"/>
  <c r="D145" i="14"/>
  <c r="C145" i="14"/>
  <c r="B145" i="14"/>
  <c r="S144" i="14"/>
  <c r="R144" i="14"/>
  <c r="Q144" i="14"/>
  <c r="P144" i="14"/>
  <c r="O144" i="14"/>
  <c r="N144" i="14"/>
  <c r="M144" i="14"/>
  <c r="L144" i="14"/>
  <c r="K144" i="14"/>
  <c r="J144" i="14"/>
  <c r="I144" i="14"/>
  <c r="H144" i="14"/>
  <c r="G144" i="14"/>
  <c r="F144" i="14"/>
  <c r="E144" i="14"/>
  <c r="D144" i="14"/>
  <c r="C144" i="14"/>
  <c r="B144" i="14"/>
  <c r="S143" i="14"/>
  <c r="R143" i="14"/>
  <c r="Q143" i="14"/>
  <c r="P143" i="14"/>
  <c r="O143" i="14"/>
  <c r="N143" i="14"/>
  <c r="M143" i="14"/>
  <c r="L143" i="14"/>
  <c r="K143" i="14"/>
  <c r="J143" i="14"/>
  <c r="I143" i="14"/>
  <c r="H143" i="14"/>
  <c r="G143" i="14"/>
  <c r="F143" i="14"/>
  <c r="E143" i="14"/>
  <c r="D143" i="14"/>
  <c r="C143" i="14"/>
  <c r="B143" i="14"/>
  <c r="S142" i="14"/>
  <c r="R142" i="14"/>
  <c r="Q142" i="14"/>
  <c r="P142" i="14"/>
  <c r="O142" i="14"/>
  <c r="N142" i="14"/>
  <c r="M142" i="14"/>
  <c r="L142" i="14"/>
  <c r="K142" i="14"/>
  <c r="J142" i="14"/>
  <c r="I142" i="14"/>
  <c r="H142" i="14"/>
  <c r="G142" i="14"/>
  <c r="F142" i="14"/>
  <c r="E142" i="14"/>
  <c r="D142" i="14"/>
  <c r="C142" i="14"/>
  <c r="B142" i="14"/>
  <c r="S141" i="14"/>
  <c r="R141" i="14"/>
  <c r="Q141" i="14"/>
  <c r="P141" i="14"/>
  <c r="O141" i="14"/>
  <c r="N141" i="14"/>
  <c r="M141" i="14"/>
  <c r="L141" i="14"/>
  <c r="K141" i="14"/>
  <c r="J141" i="14"/>
  <c r="I141" i="14"/>
  <c r="H141" i="14"/>
  <c r="G141" i="14"/>
  <c r="F141" i="14"/>
  <c r="E141" i="14"/>
  <c r="D141" i="14"/>
  <c r="C141" i="14"/>
  <c r="B141" i="14"/>
  <c r="S140" i="14"/>
  <c r="R140" i="14"/>
  <c r="Q140" i="14"/>
  <c r="P140" i="14"/>
  <c r="O140" i="14"/>
  <c r="N140" i="14"/>
  <c r="M140" i="14"/>
  <c r="L140" i="14"/>
  <c r="K140" i="14"/>
  <c r="J140" i="14"/>
  <c r="I140" i="14"/>
  <c r="H140" i="14"/>
  <c r="G140" i="14"/>
  <c r="F140" i="14"/>
  <c r="E140" i="14"/>
  <c r="D140" i="14"/>
  <c r="C140" i="14"/>
  <c r="B140" i="14"/>
  <c r="S139" i="14"/>
  <c r="R139" i="14"/>
  <c r="Q139" i="14"/>
  <c r="P139" i="14"/>
  <c r="O139" i="14"/>
  <c r="N139" i="14"/>
  <c r="M139" i="14"/>
  <c r="L139" i="14"/>
  <c r="K139" i="14"/>
  <c r="J139" i="14"/>
  <c r="I139" i="14"/>
  <c r="H139" i="14"/>
  <c r="G139" i="14"/>
  <c r="F139" i="14"/>
  <c r="E139" i="14"/>
  <c r="D139" i="14"/>
  <c r="C139" i="14"/>
  <c r="B139" i="14"/>
  <c r="S138" i="14"/>
  <c r="R138" i="14"/>
  <c r="Q138" i="14"/>
  <c r="P138" i="14"/>
  <c r="O138" i="14"/>
  <c r="N138" i="14"/>
  <c r="M138" i="14"/>
  <c r="L138" i="14"/>
  <c r="K138" i="14"/>
  <c r="J138" i="14"/>
  <c r="I138" i="14"/>
  <c r="H138" i="14"/>
  <c r="G138" i="14"/>
  <c r="F138" i="14"/>
  <c r="E138" i="14"/>
  <c r="D138" i="14"/>
  <c r="C138" i="14"/>
  <c r="B138" i="14"/>
  <c r="S137" i="14"/>
  <c r="R137" i="14"/>
  <c r="Q137" i="14"/>
  <c r="P137" i="14"/>
  <c r="O137" i="14"/>
  <c r="N137" i="14"/>
  <c r="M137" i="14"/>
  <c r="L137" i="14"/>
  <c r="K137" i="14"/>
  <c r="J137" i="14"/>
  <c r="I137" i="14"/>
  <c r="H137" i="14"/>
  <c r="G137" i="14"/>
  <c r="F137" i="14"/>
  <c r="E137" i="14"/>
  <c r="D137" i="14"/>
  <c r="C137" i="14"/>
  <c r="B137" i="14"/>
  <c r="S136" i="14"/>
  <c r="R136" i="14"/>
  <c r="Q136" i="14"/>
  <c r="P136" i="14"/>
  <c r="O136" i="14"/>
  <c r="N136" i="14"/>
  <c r="M136" i="14"/>
  <c r="L136" i="14"/>
  <c r="K136" i="14"/>
  <c r="J136" i="14"/>
  <c r="I136" i="14"/>
  <c r="H136" i="14"/>
  <c r="G136" i="14"/>
  <c r="F136" i="14"/>
  <c r="E136" i="14"/>
  <c r="D136" i="14"/>
  <c r="C136" i="14"/>
  <c r="B136" i="14"/>
  <c r="S135" i="14"/>
  <c r="R135" i="14"/>
  <c r="Q135" i="14"/>
  <c r="P135" i="14"/>
  <c r="O135" i="14"/>
  <c r="N135" i="14"/>
  <c r="M135" i="14"/>
  <c r="L135" i="14"/>
  <c r="K135" i="14"/>
  <c r="J135" i="14"/>
  <c r="I135" i="14"/>
  <c r="H135" i="14"/>
  <c r="G135" i="14"/>
  <c r="F135" i="14"/>
  <c r="E135" i="14"/>
  <c r="D135" i="14"/>
  <c r="C135" i="14"/>
  <c r="B135" i="14"/>
  <c r="S134" i="14"/>
  <c r="R134" i="14"/>
  <c r="Q134" i="14"/>
  <c r="P134" i="14"/>
  <c r="O134" i="14"/>
  <c r="N134" i="14"/>
  <c r="M134" i="14"/>
  <c r="L134" i="14"/>
  <c r="K134" i="14"/>
  <c r="J134" i="14"/>
  <c r="I134" i="14"/>
  <c r="H134" i="14"/>
  <c r="G134" i="14"/>
  <c r="F134" i="14"/>
  <c r="E134" i="14"/>
  <c r="D134" i="14"/>
  <c r="C134" i="14"/>
  <c r="B134" i="14"/>
  <c r="S133" i="14"/>
  <c r="R133" i="14"/>
  <c r="Q133" i="14"/>
  <c r="P133" i="14"/>
  <c r="O133" i="14"/>
  <c r="N133" i="14"/>
  <c r="M133" i="14"/>
  <c r="L133" i="14"/>
  <c r="K133" i="14"/>
  <c r="J133" i="14"/>
  <c r="I133" i="14"/>
  <c r="H133" i="14"/>
  <c r="G133" i="14"/>
  <c r="F133" i="14"/>
  <c r="E133" i="14"/>
  <c r="D133" i="14"/>
  <c r="C133" i="14"/>
  <c r="B133" i="14"/>
  <c r="S132" i="14"/>
  <c r="R132" i="14"/>
  <c r="Q132" i="14"/>
  <c r="P132" i="14"/>
  <c r="O132" i="14"/>
  <c r="N132" i="14"/>
  <c r="M132" i="14"/>
  <c r="L132" i="14"/>
  <c r="K132" i="14"/>
  <c r="J132" i="14"/>
  <c r="I132" i="14"/>
  <c r="H132" i="14"/>
  <c r="G132" i="14"/>
  <c r="F132" i="14"/>
  <c r="E132" i="14"/>
  <c r="D132" i="14"/>
  <c r="C132" i="14"/>
  <c r="B132" i="14"/>
  <c r="S131" i="14"/>
  <c r="R131" i="14"/>
  <c r="Q131" i="14"/>
  <c r="P131" i="14"/>
  <c r="O131" i="14"/>
  <c r="N131" i="14"/>
  <c r="M131" i="14"/>
  <c r="L131" i="14"/>
  <c r="K131" i="14"/>
  <c r="J131" i="14"/>
  <c r="I131" i="14"/>
  <c r="H131" i="14"/>
  <c r="G131" i="14"/>
  <c r="F131" i="14"/>
  <c r="E131" i="14"/>
  <c r="D131" i="14"/>
  <c r="C131" i="14"/>
  <c r="B131" i="14"/>
  <c r="S130" i="14"/>
  <c r="R130" i="14"/>
  <c r="Q130" i="14"/>
  <c r="P130" i="14"/>
  <c r="O130" i="14"/>
  <c r="N130" i="14"/>
  <c r="M130" i="14"/>
  <c r="L130" i="14"/>
  <c r="K130" i="14"/>
  <c r="J130" i="14"/>
  <c r="I130" i="14"/>
  <c r="H130" i="14"/>
  <c r="G130" i="14"/>
  <c r="F130" i="14"/>
  <c r="E130" i="14"/>
  <c r="D130" i="14"/>
  <c r="C130" i="14"/>
  <c r="B130" i="14"/>
  <c r="S129" i="14"/>
  <c r="R129" i="14"/>
  <c r="Q129" i="14"/>
  <c r="P129" i="14"/>
  <c r="O129" i="14"/>
  <c r="N129" i="14"/>
  <c r="M129" i="14"/>
  <c r="L129" i="14"/>
  <c r="K129" i="14"/>
  <c r="J129" i="14"/>
  <c r="I129" i="14"/>
  <c r="H129" i="14"/>
  <c r="G129" i="14"/>
  <c r="F129" i="14"/>
  <c r="E129" i="14"/>
  <c r="D129" i="14"/>
  <c r="C129" i="14"/>
  <c r="B129" i="14"/>
  <c r="S128" i="14"/>
  <c r="R128" i="14"/>
  <c r="Q128" i="14"/>
  <c r="P128" i="14"/>
  <c r="O128" i="14"/>
  <c r="N128" i="14"/>
  <c r="M128" i="14"/>
  <c r="L128" i="14"/>
  <c r="K128" i="14"/>
  <c r="J128" i="14"/>
  <c r="I128" i="14"/>
  <c r="H128" i="14"/>
  <c r="G128" i="14"/>
  <c r="F128" i="14"/>
  <c r="E128" i="14"/>
  <c r="D128" i="14"/>
  <c r="C128" i="14"/>
  <c r="B128" i="14"/>
  <c r="S127" i="14"/>
  <c r="R127" i="14"/>
  <c r="Q127" i="14"/>
  <c r="P127" i="14"/>
  <c r="O127" i="14"/>
  <c r="N127" i="14"/>
  <c r="M127" i="14"/>
  <c r="L127" i="14"/>
  <c r="K127" i="14"/>
  <c r="J127" i="14"/>
  <c r="I127" i="14"/>
  <c r="H127" i="14"/>
  <c r="G127" i="14"/>
  <c r="F127" i="14"/>
  <c r="E127" i="14"/>
  <c r="D127" i="14"/>
  <c r="C127" i="14"/>
  <c r="B127" i="14"/>
  <c r="S126" i="14"/>
  <c r="R126" i="14"/>
  <c r="Q126" i="14"/>
  <c r="P126" i="14"/>
  <c r="O126" i="14"/>
  <c r="N126" i="14"/>
  <c r="M126" i="14"/>
  <c r="L126" i="14"/>
  <c r="K126" i="14"/>
  <c r="J126" i="14"/>
  <c r="I126" i="14"/>
  <c r="H126" i="14"/>
  <c r="G126" i="14"/>
  <c r="F126" i="14"/>
  <c r="E126" i="14"/>
  <c r="D126" i="14"/>
  <c r="C126" i="14"/>
  <c r="B126" i="14"/>
  <c r="S125" i="14"/>
  <c r="R125" i="14"/>
  <c r="Q125" i="14"/>
  <c r="P125" i="14"/>
  <c r="O125" i="14"/>
  <c r="N125" i="14"/>
  <c r="M125" i="14"/>
  <c r="L125" i="14"/>
  <c r="K125" i="14"/>
  <c r="J125" i="14"/>
  <c r="I125" i="14"/>
  <c r="H125" i="14"/>
  <c r="G125" i="14"/>
  <c r="F125" i="14"/>
  <c r="E125" i="14"/>
  <c r="D125" i="14"/>
  <c r="C125" i="14"/>
  <c r="B125" i="14"/>
  <c r="S124" i="14"/>
  <c r="R124" i="14"/>
  <c r="Q124" i="14"/>
  <c r="P124" i="14"/>
  <c r="O124" i="14"/>
  <c r="N124" i="14"/>
  <c r="M124" i="14"/>
  <c r="L124" i="14"/>
  <c r="K124" i="14"/>
  <c r="J124" i="14"/>
  <c r="I124" i="14"/>
  <c r="H124" i="14"/>
  <c r="G124" i="14"/>
  <c r="F124" i="14"/>
  <c r="E124" i="14"/>
  <c r="D124" i="14"/>
  <c r="C124" i="14"/>
  <c r="B124" i="14"/>
  <c r="S123" i="14"/>
  <c r="R123" i="14"/>
  <c r="Q123" i="14"/>
  <c r="P123" i="14"/>
  <c r="O123" i="14"/>
  <c r="N123" i="14"/>
  <c r="M123" i="14"/>
  <c r="L123" i="14"/>
  <c r="K123" i="14"/>
  <c r="J123" i="14"/>
  <c r="I123" i="14"/>
  <c r="H123" i="14"/>
  <c r="G123" i="14"/>
  <c r="F123" i="14"/>
  <c r="E123" i="14"/>
  <c r="D123" i="14"/>
  <c r="C123" i="14"/>
  <c r="B123" i="14"/>
  <c r="S122" i="14"/>
  <c r="R122" i="14"/>
  <c r="Q122" i="14"/>
  <c r="P122" i="14"/>
  <c r="O122" i="14"/>
  <c r="N122" i="14"/>
  <c r="M122" i="14"/>
  <c r="L122" i="14"/>
  <c r="K122" i="14"/>
  <c r="J122" i="14"/>
  <c r="I122" i="14"/>
  <c r="H122" i="14"/>
  <c r="G122" i="14"/>
  <c r="F122" i="14"/>
  <c r="E122" i="14"/>
  <c r="D122" i="14"/>
  <c r="C122" i="14"/>
  <c r="B122" i="14"/>
  <c r="S121" i="14"/>
  <c r="R121" i="14"/>
  <c r="Q121" i="14"/>
  <c r="P121" i="14"/>
  <c r="O121" i="14"/>
  <c r="N121" i="14"/>
  <c r="M121" i="14"/>
  <c r="L121" i="14"/>
  <c r="K121" i="14"/>
  <c r="J121" i="14"/>
  <c r="I121" i="14"/>
  <c r="H121" i="14"/>
  <c r="G121" i="14"/>
  <c r="F121" i="14"/>
  <c r="E121" i="14"/>
  <c r="D121" i="14"/>
  <c r="C121" i="14"/>
  <c r="B121" i="14"/>
  <c r="S120" i="14"/>
  <c r="R120" i="14"/>
  <c r="Q120" i="14"/>
  <c r="P120" i="14"/>
  <c r="O120" i="14"/>
  <c r="N120" i="14"/>
  <c r="M120" i="14"/>
  <c r="L120" i="14"/>
  <c r="K120" i="14"/>
  <c r="J120" i="14"/>
  <c r="I120" i="14"/>
  <c r="H120" i="14"/>
  <c r="G120" i="14"/>
  <c r="F120" i="14"/>
  <c r="E120" i="14"/>
  <c r="D120" i="14"/>
  <c r="C120" i="14"/>
  <c r="B120" i="14"/>
  <c r="S119" i="14"/>
  <c r="R119" i="14"/>
  <c r="Q119" i="14"/>
  <c r="P119" i="14"/>
  <c r="O119" i="14"/>
  <c r="N119" i="14"/>
  <c r="M119" i="14"/>
  <c r="L119" i="14"/>
  <c r="K119" i="14"/>
  <c r="J119" i="14"/>
  <c r="I119" i="14"/>
  <c r="H119" i="14"/>
  <c r="G119" i="14"/>
  <c r="F119" i="14"/>
  <c r="E119" i="14"/>
  <c r="D119" i="14"/>
  <c r="C119" i="14"/>
  <c r="B119" i="14"/>
  <c r="S118" i="14"/>
  <c r="R118" i="14"/>
  <c r="Q118" i="14"/>
  <c r="P118" i="14"/>
  <c r="O118" i="14"/>
  <c r="N118" i="14"/>
  <c r="M118" i="14"/>
  <c r="L118" i="14"/>
  <c r="K118" i="14"/>
  <c r="J118" i="14"/>
  <c r="I118" i="14"/>
  <c r="H118" i="14"/>
  <c r="G118" i="14"/>
  <c r="F118" i="14"/>
  <c r="E118" i="14"/>
  <c r="D118" i="14"/>
  <c r="C118" i="14"/>
  <c r="B118" i="14"/>
  <c r="S117" i="14"/>
  <c r="R117" i="14"/>
  <c r="Q117" i="14"/>
  <c r="P117" i="14"/>
  <c r="O117" i="14"/>
  <c r="N117" i="14"/>
  <c r="M117" i="14"/>
  <c r="L117" i="14"/>
  <c r="K117" i="14"/>
  <c r="J117" i="14"/>
  <c r="I117" i="14"/>
  <c r="H117" i="14"/>
  <c r="G117" i="14"/>
  <c r="F117" i="14"/>
  <c r="E117" i="14"/>
  <c r="D117" i="14"/>
  <c r="C117" i="14"/>
  <c r="B117" i="14"/>
  <c r="S116" i="14"/>
  <c r="R116" i="14"/>
  <c r="Q116" i="14"/>
  <c r="P116" i="14"/>
  <c r="O116" i="14"/>
  <c r="N116" i="14"/>
  <c r="M116" i="14"/>
  <c r="L116" i="14"/>
  <c r="K116" i="14"/>
  <c r="J116" i="14"/>
  <c r="I116" i="14"/>
  <c r="H116" i="14"/>
  <c r="G116" i="14"/>
  <c r="F116" i="14"/>
  <c r="E116" i="14"/>
  <c r="D116" i="14"/>
  <c r="C116" i="14"/>
  <c r="B116" i="14"/>
  <c r="S115" i="14"/>
  <c r="R115" i="14"/>
  <c r="Q115" i="14"/>
  <c r="P115" i="14"/>
  <c r="O115" i="14"/>
  <c r="N115" i="14"/>
  <c r="M115" i="14"/>
  <c r="L115" i="14"/>
  <c r="K115" i="14"/>
  <c r="J115" i="14"/>
  <c r="I115" i="14"/>
  <c r="H115" i="14"/>
  <c r="G115" i="14"/>
  <c r="F115" i="14"/>
  <c r="E115" i="14"/>
  <c r="D115" i="14"/>
  <c r="C115" i="14"/>
  <c r="B115" i="14"/>
  <c r="S114" i="14"/>
  <c r="R114" i="14"/>
  <c r="Q114" i="14"/>
  <c r="P114" i="14"/>
  <c r="O114" i="14"/>
  <c r="N114" i="14"/>
  <c r="M114" i="14"/>
  <c r="L114" i="14"/>
  <c r="K114" i="14"/>
  <c r="J114" i="14"/>
  <c r="I114" i="14"/>
  <c r="H114" i="14"/>
  <c r="G114" i="14"/>
  <c r="F114" i="14"/>
  <c r="E114" i="14"/>
  <c r="D114" i="14"/>
  <c r="C114" i="14"/>
  <c r="B114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C113" i="14"/>
  <c r="B113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C112" i="14"/>
  <c r="B112" i="14"/>
  <c r="S111" i="14"/>
  <c r="R111" i="14"/>
  <c r="Q111" i="14"/>
  <c r="P111" i="14"/>
  <c r="O111" i="14"/>
  <c r="N111" i="14"/>
  <c r="M111" i="14"/>
  <c r="L111" i="14"/>
  <c r="K111" i="14"/>
  <c r="J111" i="14"/>
  <c r="I111" i="14"/>
  <c r="H111" i="14"/>
  <c r="G111" i="14"/>
  <c r="F111" i="14"/>
  <c r="E111" i="14"/>
  <c r="D111" i="14"/>
  <c r="C111" i="14"/>
  <c r="B111" i="14"/>
  <c r="S110" i="14"/>
  <c r="R110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D110" i="14"/>
  <c r="C110" i="14"/>
  <c r="B110" i="14"/>
  <c r="S109" i="14"/>
  <c r="R109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D109" i="14"/>
  <c r="C109" i="14"/>
  <c r="B109" i="14"/>
  <c r="S108" i="14"/>
  <c r="R108" i="14"/>
  <c r="Q108" i="14"/>
  <c r="P108" i="14"/>
  <c r="O108" i="14"/>
  <c r="N108" i="14"/>
  <c r="M108" i="14"/>
  <c r="L108" i="14"/>
  <c r="K108" i="14"/>
  <c r="J108" i="14"/>
  <c r="I108" i="14"/>
  <c r="H108" i="14"/>
  <c r="G108" i="14"/>
  <c r="F108" i="14"/>
  <c r="E108" i="14"/>
  <c r="D108" i="14"/>
  <c r="C108" i="14"/>
  <c r="B108" i="14"/>
  <c r="S107" i="14"/>
  <c r="R107" i="14"/>
  <c r="Q107" i="14"/>
  <c r="P107" i="14"/>
  <c r="O107" i="14"/>
  <c r="N107" i="14"/>
  <c r="M107" i="14"/>
  <c r="L107" i="14"/>
  <c r="K107" i="14"/>
  <c r="J107" i="14"/>
  <c r="I107" i="14"/>
  <c r="H107" i="14"/>
  <c r="G107" i="14"/>
  <c r="F107" i="14"/>
  <c r="E107" i="14"/>
  <c r="D107" i="14"/>
  <c r="C107" i="14"/>
  <c r="B107" i="14"/>
  <c r="S106" i="14"/>
  <c r="R106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D106" i="14"/>
  <c r="C106" i="14"/>
  <c r="B106" i="14"/>
  <c r="S105" i="14"/>
  <c r="R105" i="14"/>
  <c r="Q105" i="14"/>
  <c r="P105" i="14"/>
  <c r="O105" i="14"/>
  <c r="N105" i="14"/>
  <c r="M105" i="14"/>
  <c r="L105" i="14"/>
  <c r="K105" i="14"/>
  <c r="J105" i="14"/>
  <c r="I105" i="14"/>
  <c r="H105" i="14"/>
  <c r="G105" i="14"/>
  <c r="F105" i="14"/>
  <c r="E105" i="14"/>
  <c r="D105" i="14"/>
  <c r="C105" i="14"/>
  <c r="B105" i="14"/>
  <c r="S104" i="14"/>
  <c r="R104" i="14"/>
  <c r="Q104" i="14"/>
  <c r="P104" i="14"/>
  <c r="O104" i="14"/>
  <c r="N104" i="14"/>
  <c r="M104" i="14"/>
  <c r="L104" i="14"/>
  <c r="K104" i="14"/>
  <c r="J104" i="14"/>
  <c r="I104" i="14"/>
  <c r="H104" i="14"/>
  <c r="G104" i="14"/>
  <c r="F104" i="14"/>
  <c r="E104" i="14"/>
  <c r="D104" i="14"/>
  <c r="C104" i="14"/>
  <c r="B104" i="14"/>
  <c r="S103" i="14"/>
  <c r="R103" i="14"/>
  <c r="Q103" i="14"/>
  <c r="P103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C103" i="14"/>
  <c r="B103" i="14"/>
  <c r="S102" i="14"/>
  <c r="R102" i="14"/>
  <c r="Q102" i="14"/>
  <c r="P102" i="14"/>
  <c r="O102" i="14"/>
  <c r="N102" i="14"/>
  <c r="M102" i="14"/>
  <c r="L102" i="14"/>
  <c r="K102" i="14"/>
  <c r="J102" i="14"/>
  <c r="I102" i="14"/>
  <c r="H102" i="14"/>
  <c r="G102" i="14"/>
  <c r="F102" i="14"/>
  <c r="E102" i="14"/>
  <c r="D102" i="14"/>
  <c r="C102" i="14"/>
  <c r="B102" i="14"/>
  <c r="S101" i="14"/>
  <c r="R101" i="14"/>
  <c r="Q101" i="14"/>
  <c r="P101" i="14"/>
  <c r="O101" i="14"/>
  <c r="N101" i="14"/>
  <c r="M101" i="14"/>
  <c r="L101" i="14"/>
  <c r="K101" i="14"/>
  <c r="J101" i="14"/>
  <c r="I101" i="14"/>
  <c r="H101" i="14"/>
  <c r="G101" i="14"/>
  <c r="F101" i="14"/>
  <c r="E101" i="14"/>
  <c r="D101" i="14"/>
  <c r="C101" i="14"/>
  <c r="B101" i="14"/>
  <c r="S100" i="14"/>
  <c r="R100" i="14"/>
  <c r="Q100" i="14"/>
  <c r="P100" i="14"/>
  <c r="O100" i="14"/>
  <c r="N100" i="14"/>
  <c r="M100" i="14"/>
  <c r="L100" i="14"/>
  <c r="K100" i="14"/>
  <c r="J100" i="14"/>
  <c r="I100" i="14"/>
  <c r="H100" i="14"/>
  <c r="G100" i="14"/>
  <c r="F100" i="14"/>
  <c r="E100" i="14"/>
  <c r="D100" i="14"/>
  <c r="C100" i="14"/>
  <c r="B100" i="14"/>
  <c r="S99" i="14"/>
  <c r="R99" i="14"/>
  <c r="Q99" i="14"/>
  <c r="P99" i="14"/>
  <c r="O99" i="14"/>
  <c r="N99" i="14"/>
  <c r="M99" i="14"/>
  <c r="L99" i="14"/>
  <c r="K99" i="14"/>
  <c r="J99" i="14"/>
  <c r="I99" i="14"/>
  <c r="H99" i="14"/>
  <c r="G99" i="14"/>
  <c r="F99" i="14"/>
  <c r="E99" i="14"/>
  <c r="D99" i="14"/>
  <c r="C99" i="14"/>
  <c r="B99" i="14"/>
  <c r="S98" i="14"/>
  <c r="R98" i="14"/>
  <c r="Q98" i="14"/>
  <c r="P98" i="14"/>
  <c r="O98" i="14"/>
  <c r="N98" i="14"/>
  <c r="M98" i="14"/>
  <c r="L98" i="14"/>
  <c r="K98" i="14"/>
  <c r="J98" i="14"/>
  <c r="I98" i="14"/>
  <c r="H98" i="14"/>
  <c r="G98" i="14"/>
  <c r="F98" i="14"/>
  <c r="E98" i="14"/>
  <c r="D98" i="14"/>
  <c r="C98" i="14"/>
  <c r="B98" i="14"/>
  <c r="S97" i="14"/>
  <c r="R97" i="14"/>
  <c r="Q97" i="14"/>
  <c r="P97" i="14"/>
  <c r="O97" i="14"/>
  <c r="N97" i="14"/>
  <c r="M97" i="14"/>
  <c r="L97" i="14"/>
  <c r="K97" i="14"/>
  <c r="J97" i="14"/>
  <c r="I97" i="14"/>
  <c r="H97" i="14"/>
  <c r="G97" i="14"/>
  <c r="F97" i="14"/>
  <c r="E97" i="14"/>
  <c r="D97" i="14"/>
  <c r="C97" i="14"/>
  <c r="B97" i="14"/>
  <c r="S96" i="14"/>
  <c r="R96" i="14"/>
  <c r="Q96" i="14"/>
  <c r="P96" i="14"/>
  <c r="O96" i="14"/>
  <c r="N96" i="14"/>
  <c r="M96" i="14"/>
  <c r="L96" i="14"/>
  <c r="K96" i="14"/>
  <c r="J96" i="14"/>
  <c r="I96" i="14"/>
  <c r="H96" i="14"/>
  <c r="G96" i="14"/>
  <c r="F96" i="14"/>
  <c r="E96" i="14"/>
  <c r="D96" i="14"/>
  <c r="C96" i="14"/>
  <c r="B96" i="14"/>
  <c r="S95" i="14"/>
  <c r="R95" i="14"/>
  <c r="Q95" i="14"/>
  <c r="P95" i="14"/>
  <c r="O95" i="14"/>
  <c r="N95" i="14"/>
  <c r="M95" i="14"/>
  <c r="L95" i="14"/>
  <c r="K95" i="14"/>
  <c r="J95" i="14"/>
  <c r="I95" i="14"/>
  <c r="H95" i="14"/>
  <c r="G95" i="14"/>
  <c r="F95" i="14"/>
  <c r="E95" i="14"/>
  <c r="D95" i="14"/>
  <c r="C95" i="14"/>
  <c r="B95" i="14"/>
  <c r="S94" i="14"/>
  <c r="R94" i="14"/>
  <c r="Q94" i="14"/>
  <c r="P94" i="14"/>
  <c r="O94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B94" i="14"/>
  <c r="S93" i="14"/>
  <c r="R93" i="14"/>
  <c r="Q93" i="14"/>
  <c r="P93" i="14"/>
  <c r="O93" i="14"/>
  <c r="N93" i="14"/>
  <c r="M93" i="14"/>
  <c r="L93" i="14"/>
  <c r="K93" i="14"/>
  <c r="J93" i="14"/>
  <c r="I93" i="14"/>
  <c r="H93" i="14"/>
  <c r="G93" i="14"/>
  <c r="F93" i="14"/>
  <c r="E93" i="14"/>
  <c r="D93" i="14"/>
  <c r="C93" i="14"/>
  <c r="B93" i="14"/>
  <c r="S92" i="14"/>
  <c r="R92" i="14"/>
  <c r="Q92" i="14"/>
  <c r="P92" i="14"/>
  <c r="O92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B92" i="14"/>
  <c r="S91" i="14"/>
  <c r="R91" i="14"/>
  <c r="Q91" i="14"/>
  <c r="P91" i="14"/>
  <c r="O91" i="14"/>
  <c r="N91" i="14"/>
  <c r="M91" i="14"/>
  <c r="L91" i="14"/>
  <c r="K91" i="14"/>
  <c r="J91" i="14"/>
  <c r="I91" i="14"/>
  <c r="H91" i="14"/>
  <c r="G91" i="14"/>
  <c r="F91" i="14"/>
  <c r="E91" i="14"/>
  <c r="D91" i="14"/>
  <c r="C91" i="14"/>
  <c r="B91" i="14"/>
  <c r="S90" i="14"/>
  <c r="R90" i="14"/>
  <c r="Q90" i="14"/>
  <c r="P90" i="14"/>
  <c r="O90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B90" i="14"/>
  <c r="S89" i="14"/>
  <c r="R89" i="14"/>
  <c r="Q89" i="14"/>
  <c r="P89" i="14"/>
  <c r="O89" i="14"/>
  <c r="N89" i="14"/>
  <c r="M89" i="14"/>
  <c r="L89" i="14"/>
  <c r="K89" i="14"/>
  <c r="J89" i="14"/>
  <c r="I89" i="14"/>
  <c r="H89" i="14"/>
  <c r="G89" i="14"/>
  <c r="F89" i="14"/>
  <c r="E89" i="14"/>
  <c r="D89" i="14"/>
  <c r="C89" i="14"/>
  <c r="B89" i="14"/>
  <c r="S88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B88" i="14"/>
  <c r="S87" i="14"/>
  <c r="R87" i="14"/>
  <c r="Q87" i="14"/>
  <c r="P87" i="14"/>
  <c r="O87" i="14"/>
  <c r="N87" i="14"/>
  <c r="M87" i="14"/>
  <c r="L87" i="14"/>
  <c r="K87" i="14"/>
  <c r="J87" i="14"/>
  <c r="I87" i="14"/>
  <c r="H87" i="14"/>
  <c r="G87" i="14"/>
  <c r="F87" i="14"/>
  <c r="E87" i="14"/>
  <c r="D87" i="14"/>
  <c r="C87" i="14"/>
  <c r="B87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B86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C85" i="14"/>
  <c r="B85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C75" i="14"/>
  <c r="B75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B74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C73" i="14"/>
  <c r="B73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B72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B62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B61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B60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B59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B43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B42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B40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B39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B38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B37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B36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B34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B33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B32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X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X18" i="14"/>
  <c r="S18" i="14"/>
  <c r="R18" i="14"/>
  <c r="Q18" i="14"/>
  <c r="P18" i="14"/>
  <c r="O18" i="14"/>
  <c r="N18" i="14"/>
  <c r="M18" i="14"/>
  <c r="L18" i="14"/>
  <c r="K18" i="14"/>
  <c r="J18" i="14"/>
  <c r="W13" i="14" s="1"/>
  <c r="I18" i="14"/>
  <c r="H18" i="14"/>
  <c r="G18" i="14"/>
  <c r="F18" i="14"/>
  <c r="E18" i="14"/>
  <c r="D18" i="14"/>
  <c r="C18" i="14"/>
  <c r="B18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X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X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X6" i="14"/>
  <c r="S6" i="14"/>
  <c r="R6" i="14"/>
  <c r="Q6" i="14"/>
  <c r="P6" i="14"/>
  <c r="O6" i="14"/>
  <c r="N6" i="14"/>
  <c r="M6" i="14"/>
  <c r="L6" i="14"/>
  <c r="K6" i="14"/>
  <c r="J6" i="14"/>
  <c r="V21" i="14" s="1"/>
  <c r="I6" i="14"/>
  <c r="H6" i="14"/>
  <c r="G6" i="14"/>
  <c r="F6" i="14"/>
  <c r="E6" i="14"/>
  <c r="D6" i="14"/>
  <c r="C6" i="14"/>
  <c r="B6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S4" i="14"/>
  <c r="R4" i="14"/>
  <c r="Q4" i="14"/>
  <c r="P4" i="14"/>
  <c r="O4" i="14"/>
  <c r="N4" i="14"/>
  <c r="M4" i="14"/>
  <c r="L4" i="14"/>
  <c r="K4" i="14"/>
  <c r="J4" i="14"/>
  <c r="X12" i="14" s="1"/>
  <c r="I4" i="14"/>
  <c r="H4" i="14"/>
  <c r="G4" i="14"/>
  <c r="F4" i="14"/>
  <c r="W22" i="14" s="1"/>
  <c r="E4" i="14"/>
  <c r="D4" i="14"/>
  <c r="C4" i="14"/>
  <c r="B4" i="14"/>
  <c r="W16" i="15" l="1"/>
  <c r="W20" i="15"/>
  <c r="X20" i="15"/>
  <c r="Y16" i="15"/>
  <c r="W7" i="15"/>
  <c r="W11" i="15"/>
  <c r="W15" i="15"/>
  <c r="W19" i="15"/>
  <c r="W23" i="15"/>
  <c r="X8" i="15"/>
  <c r="Y20" i="15"/>
  <c r="X7" i="15"/>
  <c r="X11" i="15"/>
  <c r="X15" i="15"/>
  <c r="X19" i="15"/>
  <c r="X23" i="15"/>
  <c r="Y7" i="15"/>
  <c r="Y11" i="15"/>
  <c r="Y15" i="15"/>
  <c r="Y19" i="15"/>
  <c r="Y23" i="15"/>
  <c r="Y12" i="15"/>
  <c r="W6" i="15"/>
  <c r="W10" i="15"/>
  <c r="W14" i="15"/>
  <c r="W18" i="15"/>
  <c r="W22" i="15"/>
  <c r="W8" i="15"/>
  <c r="X12" i="15"/>
  <c r="Y4" i="15"/>
  <c r="Y8" i="15"/>
  <c r="X6" i="15"/>
  <c r="X10" i="15"/>
  <c r="X14" i="15"/>
  <c r="X18" i="15"/>
  <c r="X22" i="15"/>
  <c r="Y6" i="15"/>
  <c r="Y10" i="15"/>
  <c r="Y14" i="15"/>
  <c r="Y18" i="15"/>
  <c r="Y22" i="15"/>
  <c r="W5" i="15"/>
  <c r="W9" i="15"/>
  <c r="W13" i="15"/>
  <c r="W17" i="15"/>
  <c r="W21" i="15"/>
  <c r="X5" i="15"/>
  <c r="X9" i="15"/>
  <c r="X13" i="15"/>
  <c r="X17" i="15"/>
  <c r="Y5" i="15"/>
  <c r="Y9" i="15"/>
  <c r="Y13" i="15"/>
  <c r="Y17" i="15"/>
  <c r="W9" i="14"/>
  <c r="X5" i="14"/>
  <c r="X9" i="14"/>
  <c r="X13" i="14"/>
  <c r="X17" i="14"/>
  <c r="X21" i="14"/>
  <c r="W21" i="14"/>
  <c r="V4" i="14"/>
  <c r="V8" i="14"/>
  <c r="V12" i="14"/>
  <c r="V16" i="14"/>
  <c r="V20" i="14"/>
  <c r="W5" i="14"/>
  <c r="W4" i="14"/>
  <c r="W8" i="14"/>
  <c r="W12" i="14"/>
  <c r="W16" i="14"/>
  <c r="W20" i="14"/>
  <c r="X16" i="14"/>
  <c r="X20" i="14"/>
  <c r="V5" i="14"/>
  <c r="V13" i="14"/>
  <c r="V15" i="14"/>
  <c r="W11" i="14"/>
  <c r="W15" i="14"/>
  <c r="W19" i="14"/>
  <c r="W23" i="14"/>
  <c r="V17" i="14"/>
  <c r="X7" i="14"/>
  <c r="X11" i="14"/>
  <c r="X15" i="14"/>
  <c r="X19" i="14"/>
  <c r="X23" i="14"/>
  <c r="V9" i="14"/>
  <c r="W17" i="14"/>
  <c r="X4" i="14"/>
  <c r="X8" i="14"/>
  <c r="V7" i="14"/>
  <c r="V11" i="14"/>
  <c r="V19" i="14"/>
  <c r="V23" i="14"/>
  <c r="W7" i="14"/>
  <c r="V6" i="14"/>
  <c r="V10" i="14"/>
  <c r="V14" i="14"/>
  <c r="V18" i="14"/>
  <c r="V22" i="14"/>
  <c r="W6" i="14"/>
  <c r="W10" i="14"/>
  <c r="W14" i="14"/>
  <c r="W1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Sup. de Regulação, Enforcement e Orientação</author>
  </authors>
  <commentList>
    <comment ref="I370" authorId="0" shapeId="0" xr:uid="{F9DED623-BA5B-4384-BCCE-F73A2F07AD27}">
      <text>
        <r>
          <rPr>
            <sz val="9"/>
            <color indexed="81"/>
            <rFont val="Segoe UI"/>
            <family val="2"/>
          </rPr>
          <t>Preço ponderado pela proporção entre ações ON e PN. No lançamento da oferta, 
as ON foram precificadas em R$ 29,78 e as PN em R$ 34,50</t>
        </r>
      </text>
    </comment>
  </commentList>
</comments>
</file>

<file path=xl/sharedStrings.xml><?xml version="1.0" encoding="utf-8"?>
<sst xmlns="http://schemas.openxmlformats.org/spreadsheetml/2006/main" count="700" uniqueCount="174">
  <si>
    <t>DADOS DA COMPANHIA</t>
  </si>
  <si>
    <t xml:space="preserve"> INFORMAÇÕES DA OFERTA</t>
  </si>
  <si>
    <t>ANÚNCIO DE ENCERRAMENTO</t>
  </si>
  <si>
    <t>PARTICIPAÇÃO DOS INVESTIDORES (%) ³</t>
  </si>
  <si>
    <t>VOLUME TOTAL (R$)</t>
  </si>
  <si>
    <t>NOME DE PREGÃO</t>
  </si>
  <si>
    <t>LISTAGEM NA OFERTA</t>
  </si>
  <si>
    <t>CLASSIFICAÇÃO SETORIAL (SEGMENTO)</t>
  </si>
  <si>
    <t>COORDENADOR LÍDER</t>
  </si>
  <si>
    <t>CLASSIFICAÇÃO</t>
  </si>
  <si>
    <t>TIPO</t>
  </si>
  <si>
    <t>FIXAÇÃO DE PREÇO</t>
  </si>
  <si>
    <r>
      <t>PREÇO POR AÇÃO / UNIT / BDR (LÇTO.)</t>
    </r>
    <r>
      <rPr>
        <b/>
        <vertAlign val="superscript"/>
        <sz val="10"/>
        <color indexed="9"/>
        <rFont val="Arial"/>
        <family val="2"/>
      </rPr>
      <t>4</t>
    </r>
  </si>
  <si>
    <t>INÍCIO DE NEGOCIAÇÃO</t>
  </si>
  <si>
    <t>Nº DE PESSOAS FÍSICAS</t>
  </si>
  <si>
    <t>Nº TOTAL DE INVESTIDORES</t>
  </si>
  <si>
    <t>VOLUME PRIMÁRIA (R$)</t>
  </si>
  <si>
    <t>VOLUME SECUNDÁRIA (R$)</t>
  </si>
  <si>
    <t>VAREJO</t>
  </si>
  <si>
    <t>INSTITUCIONAL</t>
  </si>
  <si>
    <t>ESTRANGEIROS</t>
  </si>
  <si>
    <t>OUTROS</t>
  </si>
  <si>
    <t>ANO</t>
  </si>
  <si>
    <t>IPO</t>
  </si>
  <si>
    <t>FOLLOW-ON</t>
  </si>
  <si>
    <t>TOTAL</t>
  </si>
  <si>
    <t>Serviços Médicos Hospitalares, Análises e Diagnósticos</t>
  </si>
  <si>
    <t>BRF SA¹</t>
  </si>
  <si>
    <r>
      <t>G2D INVEST</t>
    </r>
    <r>
      <rPr>
        <vertAlign val="superscript"/>
        <sz val="10"/>
        <rFont val="Arial"/>
        <family val="2"/>
      </rPr>
      <t>2</t>
    </r>
  </si>
  <si>
    <t>RCVM 160 - Rito Automático</t>
  </si>
  <si>
    <t>COMPANY DATA</t>
  </si>
  <si>
    <t>OFFERING INFORMATION</t>
  </si>
  <si>
    <t>OFFERING DATA</t>
  </si>
  <si>
    <t>INVESTORS PARTICIPATION (%) ³</t>
  </si>
  <si>
    <t xml:space="preserve"> TOTAL VALUE (R$)</t>
  </si>
  <si>
    <t>TRADING NAME</t>
  </si>
  <si>
    <t>LISTING SEGMENT</t>
  </si>
  <si>
    <t>INDUSTRY CLASSIFICATION</t>
  </si>
  <si>
    <t>UNDERWRITER</t>
  </si>
  <si>
    <t>CLASSIFICATION</t>
  </si>
  <si>
    <t>PRICE FIXING DATE (DATE/MONTH/YEAR)</t>
  </si>
  <si>
    <r>
      <t xml:space="preserve">PRICE PER SHARE / UNIT / BDR </t>
    </r>
    <r>
      <rPr>
        <b/>
        <vertAlign val="superscript"/>
        <sz val="10"/>
        <color indexed="9"/>
        <rFont val="Arial"/>
        <family val="2"/>
      </rPr>
      <t>4</t>
    </r>
  </si>
  <si>
    <t>DATE OF NEGOTIATION</t>
  </si>
  <si>
    <t>NUMBER OF INDIVIDUALS</t>
  </si>
  <si>
    <t>NUMBER OF INVESTORS</t>
  </si>
  <si>
    <t>PRIMARY OFFERING (VALUE R$)</t>
  </si>
  <si>
    <t>SECONDARY OFFERING (VALUE R$)</t>
  </si>
  <si>
    <t>TOTAL
(VALUE R$)</t>
  </si>
  <si>
    <t>TOTAL
(VALUE USD)</t>
  </si>
  <si>
    <t>RETAIL</t>
  </si>
  <si>
    <t>INSTITUTIONAL</t>
  </si>
  <si>
    <t>FOREIGNERS</t>
  </si>
  <si>
    <t>OTHERS</t>
  </si>
  <si>
    <t>YEAR</t>
  </si>
  <si>
    <t>Road Concessions</t>
  </si>
  <si>
    <t>Personal Hygiene</t>
  </si>
  <si>
    <t>Civil Aviation</t>
  </si>
  <si>
    <t>Railways</t>
  </si>
  <si>
    <t>Engines, Compressors and Others</t>
  </si>
  <si>
    <t>Petrochemicals</t>
  </si>
  <si>
    <t>Eletric Utilities</t>
  </si>
  <si>
    <t>Footwear</t>
  </si>
  <si>
    <t>Water Utilities</t>
  </si>
  <si>
    <t>Medical Products</t>
  </si>
  <si>
    <t>Insurance</t>
  </si>
  <si>
    <t>Steel Industry</t>
  </si>
  <si>
    <t>Diverse Holdings</t>
  </si>
  <si>
    <t>Banks</t>
  </si>
  <si>
    <t>Food</t>
  </si>
  <si>
    <t>Diversified Products</t>
  </si>
  <si>
    <t>Diversified Holdings</t>
  </si>
  <si>
    <t>Rental Cars</t>
  </si>
  <si>
    <t>Textiles, Apparel and Footwear</t>
  </si>
  <si>
    <t>Residential Builing Construction</t>
  </si>
  <si>
    <t xml:space="preserve"> Services and Programs</t>
  </si>
  <si>
    <t>Road Equipment</t>
  </si>
  <si>
    <t>Pay-TV</t>
  </si>
  <si>
    <t xml:space="preserve">Residential Construction </t>
  </si>
  <si>
    <t>Services and Programs</t>
  </si>
  <si>
    <t>Papers, Books and Magazines</t>
  </si>
  <si>
    <t>Wood</t>
  </si>
  <si>
    <t>Diversified Services</t>
  </si>
  <si>
    <t>Real Estate</t>
  </si>
  <si>
    <t>Metallic Minerals</t>
  </si>
  <si>
    <t>Warehousing Support Services</t>
  </si>
  <si>
    <t>Pharamceutical</t>
  </si>
  <si>
    <t>Meat, Poultry and Others</t>
  </si>
  <si>
    <t>Exploration and/or Refining</t>
  </si>
  <si>
    <t>Computers and Equipment</t>
  </si>
  <si>
    <t>Aviation Equipment</t>
  </si>
  <si>
    <t>Pulp and Paper</t>
  </si>
  <si>
    <t>Sugar - Ethanol</t>
  </si>
  <si>
    <t>Fixed Line Communications</t>
  </si>
  <si>
    <t>Education Services</t>
  </si>
  <si>
    <t>Fertilizers</t>
  </si>
  <si>
    <t>Eletric Equipment</t>
  </si>
  <si>
    <t>Machinery and Equipment</t>
  </si>
  <si>
    <t>Hardware and Equipments</t>
  </si>
  <si>
    <t>Pharmaceutical and Other Products</t>
  </si>
  <si>
    <t>Warehouseing and storage</t>
  </si>
  <si>
    <t>Asset Management and Investments</t>
  </si>
  <si>
    <t>Agriculture</t>
  </si>
  <si>
    <t>Marine and Water Transport</t>
  </si>
  <si>
    <t>Trucking</t>
  </si>
  <si>
    <t>Diversified Financial Services</t>
  </si>
  <si>
    <t xml:space="preserve">Apparel </t>
  </si>
  <si>
    <t>Toll Roads and Highways</t>
  </si>
  <si>
    <t>Fabric, Thread and Fibers</t>
  </si>
  <si>
    <t>Other Materials</t>
  </si>
  <si>
    <t>Apparel, Fabric and Footwear</t>
  </si>
  <si>
    <t>Food Retailers</t>
  </si>
  <si>
    <t>Dairy Products</t>
  </si>
  <si>
    <t>Loyalty Programs</t>
  </si>
  <si>
    <t xml:space="preserve">Exploration and/or Refining </t>
  </si>
  <si>
    <t>Residential Building Construction</t>
  </si>
  <si>
    <t>Transportation Equipment</t>
  </si>
  <si>
    <t>Property Agency</t>
  </si>
  <si>
    <t>Exploration And Refining</t>
  </si>
  <si>
    <t>Restaurants And Similars</t>
  </si>
  <si>
    <t>Entertainment</t>
  </si>
  <si>
    <t>Electronics And Household Appliance</t>
  </si>
  <si>
    <t>Accessories</t>
  </si>
  <si>
    <t>Books. Magazines And Newspapers</t>
  </si>
  <si>
    <t>Mobile</t>
  </si>
  <si>
    <t>Furniture</t>
  </si>
  <si>
    <t>Hospitality</t>
  </si>
  <si>
    <t>Electric Utilities</t>
  </si>
  <si>
    <t>Travel And Tourism</t>
  </si>
  <si>
    <t>Pharmaceutical And Others Products</t>
  </si>
  <si>
    <t>Railroad Transportation</t>
  </si>
  <si>
    <t>Road Material</t>
  </si>
  <si>
    <t>Med Hosp Serv. Anal And Diagnostics</t>
  </si>
  <si>
    <t>Consumer Cyclical</t>
  </si>
  <si>
    <t>Airlines</t>
  </si>
  <si>
    <t>Holdings - Diversified</t>
  </si>
  <si>
    <t>Copper Products</t>
  </si>
  <si>
    <t>Other Food Manufacturing</t>
  </si>
  <si>
    <t>Railroads</t>
  </si>
  <si>
    <t>Apparel. Fabric And Footwear</t>
  </si>
  <si>
    <t>Exploration. Refining And Distribution</t>
  </si>
  <si>
    <t>Diversified Retailers</t>
  </si>
  <si>
    <t>Software And Services</t>
  </si>
  <si>
    <t>Car Rental</t>
  </si>
  <si>
    <t>Marine And Water Transport</t>
  </si>
  <si>
    <t>Meat. Poultry And Others</t>
  </si>
  <si>
    <t>Hardware And Equipments</t>
  </si>
  <si>
    <t>Electronics and Household Appliance</t>
  </si>
  <si>
    <t>Metalic Minerals</t>
  </si>
  <si>
    <t>Pulp And Paper</t>
  </si>
  <si>
    <t>Services and Equipaments</t>
  </si>
  <si>
    <t>Marketing</t>
  </si>
  <si>
    <t>Resource and Investment Management</t>
  </si>
  <si>
    <t>Sport Activities</t>
  </si>
  <si>
    <t>Telecommunications</t>
  </si>
  <si>
    <t>Financial</t>
  </si>
  <si>
    <t>Meat. Poultry and Others</t>
  </si>
  <si>
    <t>Apparel. Fabric and Footwear</t>
  </si>
  <si>
    <t>Reinsurance</t>
  </si>
  <si>
    <t>Car rental</t>
  </si>
  <si>
    <t>RCVM 160 -  Automatic Registration</t>
  </si>
  <si>
    <t>Med Hosp Serv. Anal and Diagnostics</t>
  </si>
  <si>
    <t>Sports</t>
  </si>
  <si>
    <t>Travel and Tourism</t>
  </si>
  <si>
    <t xml:space="preserve">Car Rental </t>
  </si>
  <si>
    <t>Health and Retail and Distribution</t>
  </si>
  <si>
    <t>Financial Intermediaries</t>
  </si>
  <si>
    <t>Textiles. Apparel and Footwear</t>
  </si>
  <si>
    <t xml:space="preserve">Capital Goods and Services </t>
  </si>
  <si>
    <t>NM</t>
  </si>
  <si>
    <t>ORIZON</t>
  </si>
  <si>
    <t>Passenger Airlines</t>
  </si>
  <si>
    <t>BTG Pactua Serviços Financeiros S.A DTVM</t>
  </si>
  <si>
    <t>MELIUZ</t>
  </si>
  <si>
    <t>Antes da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</si>
</sst>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_(* #,##0_);_(* \(#,##0\);_(* &quot;-&quot;_);_(@_)"/>
    <numFmt numFmtId="166" formatCode="&quot;R$&quot;\ #,##0.00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4685"/>
        <bgColor indexed="64"/>
      </patternFill>
    </fill>
    <fill>
      <patternFill patternType="solid">
        <fgColor rgb="FF00AE4D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23"/>
      </bottom>
      <diagonal/>
    </border>
    <border>
      <left/>
      <right/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/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double">
        <color indexed="64"/>
      </right>
      <top style="thin">
        <color indexed="23"/>
      </top>
      <bottom/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/>
      <top style="thin">
        <color indexed="23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indexed="64"/>
      </right>
      <top/>
      <bottom style="thin">
        <color theme="0" tint="-0.499984740745262"/>
      </bottom>
      <diagonal/>
    </border>
    <border>
      <left/>
      <right style="double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theme="0" tint="-0.499984740745262"/>
      </top>
      <bottom/>
      <diagonal/>
    </border>
    <border>
      <left style="double">
        <color indexed="64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/>
      <bottom style="double">
        <color indexed="64"/>
      </bottom>
      <diagonal/>
    </border>
    <border>
      <left style="thin">
        <color indexed="23"/>
      </left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double">
        <color indexed="64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indexed="23"/>
      </bottom>
      <diagonal/>
    </border>
    <border>
      <left style="thin">
        <color theme="0" tint="-0.499984740745262"/>
      </left>
      <right style="double">
        <color indexed="64"/>
      </right>
      <top style="double">
        <color indexed="64"/>
      </top>
      <bottom style="thin">
        <color theme="0" tint="-0.499984740745262"/>
      </bottom>
      <diagonal/>
    </border>
    <border>
      <left style="double">
        <color indexed="64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 style="thin">
        <color indexed="23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indexed="23"/>
      </left>
      <right/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theme="0" tint="-0.499984740745262"/>
      </left>
      <right style="double">
        <color indexed="64"/>
      </right>
      <top style="thin">
        <color theme="1" tint="0.34998626667073579"/>
      </top>
      <bottom style="double">
        <color theme="1" tint="0.34998626667073579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thin">
        <color indexed="23"/>
      </top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3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theme="0" tint="-0.499984740745262"/>
      </bottom>
      <diagonal/>
    </border>
    <border>
      <left style="thin">
        <color indexed="23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 style="thin">
        <color indexed="23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23"/>
      </right>
      <top style="double">
        <color indexed="64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64"/>
      </bottom>
      <diagonal/>
    </border>
    <border>
      <left style="double">
        <color indexed="64"/>
      </left>
      <right style="thin">
        <color indexed="23"/>
      </right>
      <top style="double">
        <color indexed="64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64"/>
      </top>
      <bottom/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theme="1" tint="0.499984740745262"/>
      </bottom>
      <diagonal/>
    </border>
    <border>
      <left style="thin">
        <color indexed="23"/>
      </left>
      <right style="thin">
        <color indexed="55"/>
      </right>
      <top/>
      <bottom style="double">
        <color indexed="64"/>
      </bottom>
      <diagonal/>
    </border>
    <border>
      <left style="thin">
        <color indexed="23"/>
      </left>
      <right style="double">
        <color indexed="64"/>
      </right>
      <top/>
      <bottom style="double">
        <color indexed="64"/>
      </bottom>
      <diagonal/>
    </border>
    <border>
      <left style="thin">
        <color indexed="23"/>
      </left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 style="thin">
        <color indexed="55"/>
      </right>
      <top style="thin">
        <color theme="1" tint="0.499984740745262"/>
      </top>
      <bottom/>
      <diagonal/>
    </border>
    <border>
      <left style="double">
        <color indexed="64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 style="double">
        <color indexed="64"/>
      </right>
      <top style="double">
        <color indexed="64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64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23"/>
      </right>
      <top style="thin">
        <color indexed="64"/>
      </top>
      <bottom style="double">
        <color auto="1"/>
      </bottom>
      <diagonal/>
    </border>
    <border>
      <left style="thin">
        <color indexed="23"/>
      </left>
      <right style="double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290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5" fontId="1" fillId="0" borderId="0" xfId="2" applyNumberFormat="1" applyAlignment="1">
      <alignment horizontal="center"/>
    </xf>
    <xf numFmtId="9" fontId="0" fillId="0" borderId="0" xfId="1" applyFont="1"/>
    <xf numFmtId="9" fontId="1" fillId="0" borderId="0" xfId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 shrinkToFit="1"/>
    </xf>
    <xf numFmtId="0" fontId="2" fillId="2" borderId="10" xfId="2" applyFont="1" applyFill="1" applyBorder="1" applyAlignment="1">
      <alignment horizontal="center" vertical="center" wrapText="1" shrinkToFit="1"/>
    </xf>
    <xf numFmtId="164" fontId="2" fillId="2" borderId="10" xfId="2" applyNumberFormat="1" applyFont="1" applyFill="1" applyBorder="1" applyAlignment="1">
      <alignment horizontal="center" vertical="center" wrapText="1" shrinkToFit="1"/>
    </xf>
    <xf numFmtId="165" fontId="2" fillId="2" borderId="10" xfId="2" applyNumberFormat="1" applyFont="1" applyFill="1" applyBorder="1" applyAlignment="1">
      <alignment horizontal="center" vertical="center" wrapText="1" shrinkToFit="1"/>
    </xf>
    <xf numFmtId="2" fontId="2" fillId="2" borderId="10" xfId="2" applyNumberFormat="1" applyFont="1" applyFill="1" applyBorder="1" applyAlignment="1">
      <alignment horizontal="center" vertical="center" wrapText="1" shrinkToFit="1"/>
    </xf>
    <xf numFmtId="9" fontId="2" fillId="2" borderId="11" xfId="1" applyFont="1" applyFill="1" applyBorder="1" applyAlignment="1">
      <alignment horizontal="center" vertical="center" wrapText="1" shrinkToFit="1"/>
    </xf>
    <xf numFmtId="9" fontId="2" fillId="2" borderId="10" xfId="1" applyFont="1" applyFill="1" applyBorder="1" applyAlignment="1">
      <alignment horizontal="center" vertical="center" wrapText="1" shrinkToFit="1"/>
    </xf>
    <xf numFmtId="9" fontId="2" fillId="2" borderId="12" xfId="1" applyFont="1" applyFill="1" applyBorder="1" applyAlignment="1">
      <alignment horizontal="center" vertical="center" wrapText="1" shrinkToFit="1"/>
    </xf>
    <xf numFmtId="2" fontId="2" fillId="3" borderId="8" xfId="2" applyNumberFormat="1" applyFont="1" applyFill="1" applyBorder="1" applyAlignment="1">
      <alignment horizontal="center" vertical="center" wrapText="1" shrinkToFit="1"/>
    </xf>
    <xf numFmtId="0" fontId="1" fillId="0" borderId="0" xfId="2" applyAlignment="1">
      <alignment horizontal="center" vertical="center" wrapText="1" shrinkToFit="1"/>
    </xf>
    <xf numFmtId="0" fontId="1" fillId="0" borderId="13" xfId="2" applyBorder="1"/>
    <xf numFmtId="0" fontId="1" fillId="0" borderId="8" xfId="2" applyBorder="1" applyAlignment="1">
      <alignment horizontal="center"/>
    </xf>
    <xf numFmtId="14" fontId="1" fillId="0" borderId="8" xfId="2" applyNumberFormat="1" applyBorder="1" applyAlignment="1">
      <alignment horizontal="center"/>
    </xf>
    <xf numFmtId="166" fontId="1" fillId="0" borderId="8" xfId="2" applyNumberFormat="1" applyBorder="1" applyAlignment="1">
      <alignment horizontal="center"/>
    </xf>
    <xf numFmtId="164" fontId="1" fillId="0" borderId="8" xfId="2" applyNumberFormat="1" applyBorder="1" applyAlignment="1">
      <alignment horizontal="center"/>
    </xf>
    <xf numFmtId="165" fontId="1" fillId="0" borderId="8" xfId="2" applyNumberFormat="1" applyBorder="1" applyAlignment="1">
      <alignment horizontal="center"/>
    </xf>
    <xf numFmtId="165" fontId="1" fillId="0" borderId="8" xfId="2" applyNumberFormat="1" applyBorder="1"/>
    <xf numFmtId="165" fontId="1" fillId="0" borderId="14" xfId="2" applyNumberFormat="1" applyBorder="1"/>
    <xf numFmtId="9" fontId="1" fillId="0" borderId="15" xfId="1" applyBorder="1" applyAlignment="1">
      <alignment horizontal="center"/>
    </xf>
    <xf numFmtId="9" fontId="1" fillId="0" borderId="16" xfId="1" applyBorder="1" applyAlignment="1">
      <alignment horizontal="center"/>
    </xf>
    <xf numFmtId="0" fontId="4" fillId="0" borderId="8" xfId="2" applyFont="1" applyBorder="1" applyAlignment="1">
      <alignment horizontal="center"/>
    </xf>
    <xf numFmtId="165" fontId="4" fillId="0" borderId="8" xfId="2" applyNumberFormat="1" applyFont="1" applyBorder="1"/>
    <xf numFmtId="0" fontId="1" fillId="0" borderId="17" xfId="2" applyBorder="1"/>
    <xf numFmtId="0" fontId="1" fillId="0" borderId="18" xfId="2" applyBorder="1" applyAlignment="1">
      <alignment horizontal="center"/>
    </xf>
    <xf numFmtId="14" fontId="1" fillId="0" borderId="18" xfId="2" applyNumberFormat="1" applyBorder="1" applyAlignment="1">
      <alignment horizontal="center"/>
    </xf>
    <xf numFmtId="166" fontId="1" fillId="0" borderId="18" xfId="2" applyNumberFormat="1" applyBorder="1" applyAlignment="1">
      <alignment horizontal="center"/>
    </xf>
    <xf numFmtId="164" fontId="1" fillId="0" borderId="18" xfId="2" applyNumberFormat="1" applyBorder="1" applyAlignment="1">
      <alignment horizontal="center"/>
    </xf>
    <xf numFmtId="165" fontId="1" fillId="0" borderId="18" xfId="2" applyNumberFormat="1" applyBorder="1" applyAlignment="1">
      <alignment horizontal="center"/>
    </xf>
    <xf numFmtId="165" fontId="1" fillId="0" borderId="18" xfId="2" applyNumberFormat="1" applyBorder="1"/>
    <xf numFmtId="165" fontId="1" fillId="0" borderId="19" xfId="2" applyNumberFormat="1" applyBorder="1"/>
    <xf numFmtId="9" fontId="1" fillId="0" borderId="20" xfId="1" applyBorder="1" applyAlignment="1">
      <alignment horizontal="center"/>
    </xf>
    <xf numFmtId="9" fontId="1" fillId="0" borderId="21" xfId="1" applyBorder="1" applyAlignment="1">
      <alignment horizontal="center"/>
    </xf>
    <xf numFmtId="0" fontId="1" fillId="0" borderId="22" xfId="2" applyBorder="1"/>
    <xf numFmtId="0" fontId="1" fillId="0" borderId="23" xfId="2" applyBorder="1" applyAlignment="1">
      <alignment horizontal="center"/>
    </xf>
    <xf numFmtId="14" fontId="1" fillId="0" borderId="23" xfId="2" applyNumberFormat="1" applyBorder="1" applyAlignment="1">
      <alignment horizontal="center"/>
    </xf>
    <xf numFmtId="166" fontId="1" fillId="0" borderId="23" xfId="2" applyNumberFormat="1" applyBorder="1" applyAlignment="1">
      <alignment horizontal="center"/>
    </xf>
    <xf numFmtId="164" fontId="1" fillId="0" borderId="23" xfId="2" applyNumberFormat="1" applyBorder="1" applyAlignment="1">
      <alignment horizontal="center"/>
    </xf>
    <xf numFmtId="165" fontId="1" fillId="0" borderId="23" xfId="2" applyNumberFormat="1" applyBorder="1" applyAlignment="1">
      <alignment horizontal="center"/>
    </xf>
    <xf numFmtId="165" fontId="1" fillId="0" borderId="23" xfId="2" applyNumberFormat="1" applyBorder="1"/>
    <xf numFmtId="165" fontId="1" fillId="0" borderId="24" xfId="2" applyNumberFormat="1" applyBorder="1"/>
    <xf numFmtId="9" fontId="1" fillId="0" borderId="25" xfId="1" applyBorder="1" applyAlignment="1">
      <alignment horizontal="center"/>
    </xf>
    <xf numFmtId="9" fontId="1" fillId="0" borderId="26" xfId="1" applyBorder="1" applyAlignment="1">
      <alignment horizontal="center"/>
    </xf>
    <xf numFmtId="0" fontId="1" fillId="0" borderId="27" xfId="2" applyBorder="1"/>
    <xf numFmtId="0" fontId="1" fillId="0" borderId="9" xfId="2" applyBorder="1"/>
    <xf numFmtId="0" fontId="1" fillId="0" borderId="10" xfId="2" applyBorder="1" applyAlignment="1">
      <alignment horizontal="center"/>
    </xf>
    <xf numFmtId="14" fontId="1" fillId="0" borderId="10" xfId="2" applyNumberFormat="1" applyBorder="1" applyAlignment="1">
      <alignment horizontal="center"/>
    </xf>
    <xf numFmtId="166" fontId="1" fillId="0" borderId="10" xfId="2" applyNumberFormat="1" applyBorder="1" applyAlignment="1">
      <alignment horizontal="center"/>
    </xf>
    <xf numFmtId="164" fontId="1" fillId="0" borderId="10" xfId="2" applyNumberFormat="1" applyBorder="1" applyAlignment="1">
      <alignment horizontal="center"/>
    </xf>
    <xf numFmtId="165" fontId="1" fillId="0" borderId="10" xfId="2" applyNumberFormat="1" applyBorder="1" applyAlignment="1">
      <alignment horizontal="center"/>
    </xf>
    <xf numFmtId="165" fontId="1" fillId="0" borderId="10" xfId="2" applyNumberFormat="1" applyBorder="1"/>
    <xf numFmtId="165" fontId="1" fillId="0" borderId="28" xfId="2" applyNumberFormat="1" applyBorder="1"/>
    <xf numFmtId="9" fontId="1" fillId="0" borderId="29" xfId="1" applyBorder="1" applyAlignment="1">
      <alignment horizontal="center"/>
    </xf>
    <xf numFmtId="9" fontId="1" fillId="0" borderId="30" xfId="1" applyBorder="1" applyAlignment="1">
      <alignment horizontal="center"/>
    </xf>
    <xf numFmtId="0" fontId="1" fillId="0" borderId="31" xfId="2" applyBorder="1"/>
    <xf numFmtId="0" fontId="1" fillId="0" borderId="32" xfId="2" applyBorder="1" applyAlignment="1">
      <alignment horizontal="center"/>
    </xf>
    <xf numFmtId="14" fontId="1" fillId="0" borderId="32" xfId="2" applyNumberFormat="1" applyBorder="1" applyAlignment="1">
      <alignment horizontal="center"/>
    </xf>
    <xf numFmtId="166" fontId="1" fillId="0" borderId="32" xfId="2" applyNumberFormat="1" applyBorder="1" applyAlignment="1">
      <alignment horizontal="center"/>
    </xf>
    <xf numFmtId="164" fontId="1" fillId="0" borderId="32" xfId="2" applyNumberFormat="1" applyBorder="1" applyAlignment="1">
      <alignment horizontal="center"/>
    </xf>
    <xf numFmtId="165" fontId="1" fillId="0" borderId="32" xfId="2" applyNumberFormat="1" applyBorder="1" applyAlignment="1">
      <alignment horizontal="center"/>
    </xf>
    <xf numFmtId="165" fontId="1" fillId="0" borderId="32" xfId="2" applyNumberFormat="1" applyBorder="1"/>
    <xf numFmtId="165" fontId="1" fillId="0" borderId="33" xfId="2" applyNumberFormat="1" applyBorder="1"/>
    <xf numFmtId="9" fontId="1" fillId="0" borderId="34" xfId="1" applyBorder="1" applyAlignment="1">
      <alignment horizontal="center"/>
    </xf>
    <xf numFmtId="9" fontId="1" fillId="0" borderId="35" xfId="1" applyBorder="1" applyAlignment="1">
      <alignment horizontal="center"/>
    </xf>
    <xf numFmtId="165" fontId="1" fillId="0" borderId="23" xfId="2" applyNumberFormat="1" applyBorder="1" applyAlignment="1">
      <alignment horizontal="right"/>
    </xf>
    <xf numFmtId="165" fontId="1" fillId="0" borderId="8" xfId="2" applyNumberFormat="1" applyBorder="1" applyAlignment="1">
      <alignment horizontal="right"/>
    </xf>
    <xf numFmtId="0" fontId="1" fillId="0" borderId="36" xfId="2" applyBorder="1"/>
    <xf numFmtId="0" fontId="1" fillId="0" borderId="37" xfId="2" applyBorder="1" applyAlignment="1">
      <alignment horizontal="center"/>
    </xf>
    <xf numFmtId="14" fontId="1" fillId="0" borderId="37" xfId="2" applyNumberFormat="1" applyBorder="1" applyAlignment="1">
      <alignment horizontal="center"/>
    </xf>
    <xf numFmtId="166" fontId="1" fillId="0" borderId="37" xfId="2" applyNumberFormat="1" applyBorder="1" applyAlignment="1">
      <alignment horizontal="center"/>
    </xf>
    <xf numFmtId="164" fontId="1" fillId="0" borderId="37" xfId="2" applyNumberFormat="1" applyBorder="1" applyAlignment="1">
      <alignment horizontal="center"/>
    </xf>
    <xf numFmtId="165" fontId="1" fillId="0" borderId="38" xfId="2" applyNumberFormat="1" applyBorder="1" applyAlignment="1">
      <alignment horizontal="right"/>
    </xf>
    <xf numFmtId="165" fontId="1" fillId="0" borderId="37" xfId="2" applyNumberFormat="1" applyBorder="1" applyAlignment="1">
      <alignment horizontal="right"/>
    </xf>
    <xf numFmtId="165" fontId="1" fillId="0" borderId="37" xfId="2" applyNumberFormat="1" applyBorder="1"/>
    <xf numFmtId="165" fontId="1" fillId="0" borderId="38" xfId="2" applyNumberFormat="1" applyBorder="1"/>
    <xf numFmtId="165" fontId="1" fillId="0" borderId="39" xfId="2" applyNumberFormat="1" applyBorder="1"/>
    <xf numFmtId="9" fontId="1" fillId="0" borderId="40" xfId="1" applyBorder="1" applyAlignment="1">
      <alignment horizontal="center"/>
    </xf>
    <xf numFmtId="9" fontId="1" fillId="0" borderId="41" xfId="1" applyBorder="1" applyAlignment="1">
      <alignment horizontal="center"/>
    </xf>
    <xf numFmtId="9" fontId="1" fillId="0" borderId="42" xfId="1" applyBorder="1" applyAlignment="1">
      <alignment horizontal="center"/>
    </xf>
    <xf numFmtId="165" fontId="1" fillId="0" borderId="18" xfId="2" applyNumberFormat="1" applyBorder="1" applyAlignment="1">
      <alignment horizontal="right"/>
    </xf>
    <xf numFmtId="165" fontId="1" fillId="0" borderId="32" xfId="2" applyNumberFormat="1" applyBorder="1" applyAlignment="1">
      <alignment horizontal="right"/>
    </xf>
    <xf numFmtId="0" fontId="1" fillId="0" borderId="43" xfId="2" applyBorder="1"/>
    <xf numFmtId="0" fontId="1" fillId="0" borderId="44" xfId="2" applyBorder="1" applyAlignment="1">
      <alignment horizontal="center"/>
    </xf>
    <xf numFmtId="14" fontId="1" fillId="0" borderId="45" xfId="2" applyNumberFormat="1" applyBorder="1" applyAlignment="1">
      <alignment horizontal="center"/>
    </xf>
    <xf numFmtId="166" fontId="1" fillId="0" borderId="44" xfId="2" applyNumberFormat="1" applyBorder="1" applyAlignment="1">
      <alignment horizontal="center"/>
    </xf>
    <xf numFmtId="164" fontId="1" fillId="0" borderId="45" xfId="2" applyNumberFormat="1" applyBorder="1" applyAlignment="1">
      <alignment horizontal="center"/>
    </xf>
    <xf numFmtId="165" fontId="1" fillId="0" borderId="45" xfId="2" applyNumberFormat="1" applyBorder="1" applyAlignment="1">
      <alignment horizontal="right"/>
    </xf>
    <xf numFmtId="165" fontId="1" fillId="0" borderId="45" xfId="2" applyNumberFormat="1" applyBorder="1"/>
    <xf numFmtId="165" fontId="1" fillId="0" borderId="46" xfId="2" applyNumberFormat="1" applyBorder="1"/>
    <xf numFmtId="9" fontId="1" fillId="0" borderId="47" xfId="1" applyBorder="1" applyAlignment="1">
      <alignment horizontal="center"/>
    </xf>
    <xf numFmtId="9" fontId="1" fillId="0" borderId="48" xfId="1" applyBorder="1" applyAlignment="1">
      <alignment horizontal="center"/>
    </xf>
    <xf numFmtId="9" fontId="1" fillId="0" borderId="49" xfId="1" applyBorder="1" applyAlignment="1">
      <alignment horizontal="center"/>
    </xf>
    <xf numFmtId="0" fontId="1" fillId="0" borderId="50" xfId="2" applyBorder="1"/>
    <xf numFmtId="0" fontId="1" fillId="0" borderId="51" xfId="2" applyBorder="1" applyAlignment="1">
      <alignment horizontal="center"/>
    </xf>
    <xf numFmtId="166" fontId="1" fillId="0" borderId="51" xfId="2" applyNumberFormat="1" applyBorder="1" applyAlignment="1">
      <alignment horizontal="center"/>
    </xf>
    <xf numFmtId="9" fontId="1" fillId="0" borderId="52" xfId="1" applyBorder="1" applyAlignment="1">
      <alignment horizontal="center"/>
    </xf>
    <xf numFmtId="0" fontId="1" fillId="0" borderId="53" xfId="2" applyBorder="1" applyAlignment="1">
      <alignment horizontal="center"/>
    </xf>
    <xf numFmtId="166" fontId="1" fillId="0" borderId="53" xfId="2" applyNumberFormat="1" applyBorder="1" applyAlignment="1">
      <alignment horizontal="center"/>
    </xf>
    <xf numFmtId="9" fontId="1" fillId="0" borderId="54" xfId="1" applyBorder="1" applyAlignment="1">
      <alignment horizontal="center"/>
    </xf>
    <xf numFmtId="0" fontId="1" fillId="0" borderId="55" xfId="2" applyBorder="1"/>
    <xf numFmtId="0" fontId="1" fillId="0" borderId="4" xfId="2" applyBorder="1" applyAlignment="1">
      <alignment horizontal="center"/>
    </xf>
    <xf numFmtId="14" fontId="1" fillId="0" borderId="4" xfId="2" applyNumberFormat="1" applyBorder="1" applyAlignment="1">
      <alignment horizontal="center"/>
    </xf>
    <xf numFmtId="166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right"/>
    </xf>
    <xf numFmtId="165" fontId="1" fillId="0" borderId="4" xfId="2" applyNumberFormat="1" applyBorder="1"/>
    <xf numFmtId="165" fontId="1" fillId="0" borderId="5" xfId="2" applyNumberFormat="1" applyBorder="1"/>
    <xf numFmtId="9" fontId="1" fillId="0" borderId="56" xfId="1" applyBorder="1" applyAlignment="1">
      <alignment horizontal="center"/>
    </xf>
    <xf numFmtId="165" fontId="1" fillId="0" borderId="10" xfId="2" applyNumberFormat="1" applyBorder="1" applyAlignment="1">
      <alignment horizontal="right"/>
    </xf>
    <xf numFmtId="0" fontId="1" fillId="0" borderId="57" xfId="2" applyBorder="1"/>
    <xf numFmtId="0" fontId="1" fillId="0" borderId="58" xfId="2" applyBorder="1" applyAlignment="1">
      <alignment horizontal="center"/>
    </xf>
    <xf numFmtId="14" fontId="1" fillId="0" borderId="58" xfId="2" applyNumberFormat="1" applyBorder="1" applyAlignment="1">
      <alignment horizontal="center"/>
    </xf>
    <xf numFmtId="166" fontId="1" fillId="0" borderId="58" xfId="2" applyNumberFormat="1" applyBorder="1" applyAlignment="1">
      <alignment horizontal="center"/>
    </xf>
    <xf numFmtId="164" fontId="1" fillId="0" borderId="58" xfId="2" applyNumberFormat="1" applyBorder="1" applyAlignment="1">
      <alignment horizontal="center"/>
    </xf>
    <xf numFmtId="165" fontId="1" fillId="0" borderId="58" xfId="2" applyNumberFormat="1" applyBorder="1" applyAlignment="1">
      <alignment horizontal="right"/>
    </xf>
    <xf numFmtId="165" fontId="1" fillId="0" borderId="58" xfId="2" applyNumberFormat="1" applyBorder="1"/>
    <xf numFmtId="165" fontId="1" fillId="0" borderId="59" xfId="2" applyNumberFormat="1" applyBorder="1"/>
    <xf numFmtId="9" fontId="1" fillId="0" borderId="60" xfId="1" applyBorder="1" applyAlignment="1">
      <alignment horizontal="center"/>
    </xf>
    <xf numFmtId="9" fontId="1" fillId="0" borderId="61" xfId="1" applyBorder="1" applyAlignment="1">
      <alignment horizontal="center"/>
    </xf>
    <xf numFmtId="0" fontId="1" fillId="0" borderId="62" xfId="2" applyBorder="1"/>
    <xf numFmtId="0" fontId="1" fillId="0" borderId="63" xfId="2" applyBorder="1" applyAlignment="1">
      <alignment horizontal="center"/>
    </xf>
    <xf numFmtId="14" fontId="1" fillId="0" borderId="63" xfId="2" applyNumberFormat="1" applyBorder="1" applyAlignment="1">
      <alignment horizontal="center"/>
    </xf>
    <xf numFmtId="166" fontId="1" fillId="0" borderId="63" xfId="2" applyNumberFormat="1" applyBorder="1" applyAlignment="1">
      <alignment horizontal="center"/>
    </xf>
    <xf numFmtId="164" fontId="1" fillId="0" borderId="63" xfId="2" applyNumberFormat="1" applyBorder="1" applyAlignment="1">
      <alignment horizontal="center"/>
    </xf>
    <xf numFmtId="165" fontId="1" fillId="0" borderId="63" xfId="2" applyNumberFormat="1" applyBorder="1" applyAlignment="1">
      <alignment horizontal="right"/>
    </xf>
    <xf numFmtId="165" fontId="1" fillId="0" borderId="63" xfId="2" applyNumberFormat="1" applyBorder="1"/>
    <xf numFmtId="165" fontId="1" fillId="0" borderId="64" xfId="2" applyNumberFormat="1" applyBorder="1"/>
    <xf numFmtId="9" fontId="1" fillId="0" borderId="65" xfId="1" applyBorder="1" applyAlignment="1">
      <alignment horizontal="center"/>
    </xf>
    <xf numFmtId="9" fontId="1" fillId="0" borderId="66" xfId="1" applyBorder="1" applyAlignment="1">
      <alignment horizontal="center"/>
    </xf>
    <xf numFmtId="9" fontId="1" fillId="0" borderId="0" xfId="1" applyBorder="1" applyAlignment="1">
      <alignment horizontal="center"/>
    </xf>
    <xf numFmtId="0" fontId="1" fillId="0" borderId="67" xfId="2" applyBorder="1"/>
    <xf numFmtId="0" fontId="1" fillId="0" borderId="68" xfId="2" applyBorder="1" applyAlignment="1">
      <alignment horizontal="center"/>
    </xf>
    <xf numFmtId="14" fontId="1" fillId="0" borderId="68" xfId="2" applyNumberFormat="1" applyBorder="1" applyAlignment="1">
      <alignment horizontal="center"/>
    </xf>
    <xf numFmtId="166" fontId="1" fillId="0" borderId="68" xfId="2" applyNumberFormat="1" applyBorder="1" applyAlignment="1">
      <alignment horizontal="center"/>
    </xf>
    <xf numFmtId="164" fontId="1" fillId="0" borderId="68" xfId="2" applyNumberFormat="1" applyBorder="1" applyAlignment="1">
      <alignment horizontal="center"/>
    </xf>
    <xf numFmtId="165" fontId="1" fillId="0" borderId="68" xfId="2" applyNumberFormat="1" applyBorder="1" applyAlignment="1">
      <alignment horizontal="right"/>
    </xf>
    <xf numFmtId="165" fontId="1" fillId="0" borderId="68" xfId="2" applyNumberFormat="1" applyBorder="1"/>
    <xf numFmtId="165" fontId="1" fillId="0" borderId="69" xfId="2" applyNumberFormat="1" applyBorder="1"/>
    <xf numFmtId="9" fontId="1" fillId="0" borderId="70" xfId="1" applyBorder="1" applyAlignment="1">
      <alignment horizontal="center"/>
    </xf>
    <xf numFmtId="9" fontId="1" fillId="0" borderId="71" xfId="1" applyBorder="1" applyAlignment="1">
      <alignment horizontal="center"/>
    </xf>
    <xf numFmtId="0" fontId="1" fillId="0" borderId="72" xfId="2" applyBorder="1"/>
    <xf numFmtId="0" fontId="1" fillId="0" borderId="73" xfId="2" applyBorder="1" applyAlignment="1">
      <alignment horizontal="center"/>
    </xf>
    <xf numFmtId="14" fontId="1" fillId="0" borderId="73" xfId="2" applyNumberFormat="1" applyBorder="1" applyAlignment="1">
      <alignment horizontal="center"/>
    </xf>
    <xf numFmtId="166" fontId="1" fillId="0" borderId="73" xfId="2" applyNumberFormat="1" applyBorder="1" applyAlignment="1">
      <alignment horizontal="center"/>
    </xf>
    <xf numFmtId="164" fontId="1" fillId="0" borderId="73" xfId="2" applyNumberFormat="1" applyBorder="1" applyAlignment="1">
      <alignment horizontal="center"/>
    </xf>
    <xf numFmtId="165" fontId="1" fillId="0" borderId="73" xfId="2" applyNumberFormat="1" applyBorder="1" applyAlignment="1">
      <alignment horizontal="right"/>
    </xf>
    <xf numFmtId="165" fontId="1" fillId="0" borderId="73" xfId="2" applyNumberFormat="1" applyBorder="1"/>
    <xf numFmtId="165" fontId="1" fillId="0" borderId="74" xfId="2" applyNumberFormat="1" applyBorder="1"/>
    <xf numFmtId="9" fontId="1" fillId="0" borderId="75" xfId="1" applyBorder="1" applyAlignment="1">
      <alignment horizontal="center"/>
    </xf>
    <xf numFmtId="9" fontId="1" fillId="0" borderId="76" xfId="1" applyBorder="1" applyAlignment="1">
      <alignment horizontal="center"/>
    </xf>
    <xf numFmtId="165" fontId="1" fillId="0" borderId="0" xfId="2" applyNumberFormat="1"/>
    <xf numFmtId="9" fontId="1" fillId="0" borderId="8" xfId="1" applyBorder="1" applyAlignment="1">
      <alignment horizontal="center"/>
    </xf>
    <xf numFmtId="9" fontId="1" fillId="0" borderId="78" xfId="1" applyBorder="1" applyAlignment="1">
      <alignment horizontal="center"/>
    </xf>
    <xf numFmtId="9" fontId="1" fillId="0" borderId="18" xfId="1" applyBorder="1" applyAlignment="1">
      <alignment horizontal="center"/>
    </xf>
    <xf numFmtId="9" fontId="1" fillId="0" borderId="79" xfId="1" applyBorder="1" applyAlignment="1">
      <alignment horizontal="center"/>
    </xf>
    <xf numFmtId="9" fontId="1" fillId="0" borderId="23" xfId="1" applyBorder="1" applyAlignment="1">
      <alignment horizontal="center"/>
    </xf>
    <xf numFmtId="9" fontId="1" fillId="0" borderId="80" xfId="1" applyBorder="1" applyAlignment="1">
      <alignment horizontal="center"/>
    </xf>
    <xf numFmtId="164" fontId="1" fillId="0" borderId="4" xfId="2" applyNumberFormat="1" applyBorder="1" applyAlignment="1">
      <alignment horizontal="center"/>
    </xf>
    <xf numFmtId="165" fontId="1" fillId="0" borderId="4" xfId="2" applyNumberFormat="1" applyBorder="1" applyAlignment="1">
      <alignment horizontal="center"/>
    </xf>
    <xf numFmtId="0" fontId="1" fillId="0" borderId="81" xfId="2" applyBorder="1" applyAlignment="1">
      <alignment horizontal="center"/>
    </xf>
    <xf numFmtId="0" fontId="1" fillId="0" borderId="82" xfId="2" applyBorder="1" applyAlignment="1">
      <alignment horizontal="center"/>
    </xf>
    <xf numFmtId="164" fontId="1" fillId="0" borderId="82" xfId="2" applyNumberFormat="1" applyBorder="1" applyAlignment="1">
      <alignment horizontal="center"/>
    </xf>
    <xf numFmtId="165" fontId="1" fillId="0" borderId="82" xfId="2" applyNumberFormat="1" applyBorder="1" applyAlignment="1">
      <alignment horizontal="center"/>
    </xf>
    <xf numFmtId="165" fontId="1" fillId="0" borderId="82" xfId="2" applyNumberFormat="1" applyBorder="1"/>
    <xf numFmtId="0" fontId="1" fillId="0" borderId="83" xfId="2" applyBorder="1" applyAlignment="1">
      <alignment horizontal="center"/>
    </xf>
    <xf numFmtId="164" fontId="1" fillId="0" borderId="83" xfId="2" applyNumberFormat="1" applyBorder="1" applyAlignment="1">
      <alignment horizontal="center"/>
    </xf>
    <xf numFmtId="165" fontId="1" fillId="0" borderId="83" xfId="2" applyNumberFormat="1" applyBorder="1" applyAlignment="1">
      <alignment horizontal="center"/>
    </xf>
    <xf numFmtId="165" fontId="1" fillId="0" borderId="83" xfId="2" applyNumberFormat="1" applyBorder="1"/>
    <xf numFmtId="0" fontId="1" fillId="0" borderId="84" xfId="2" applyBorder="1" applyAlignment="1">
      <alignment horizontal="center"/>
    </xf>
    <xf numFmtId="164" fontId="1" fillId="0" borderId="84" xfId="2" applyNumberFormat="1" applyBorder="1" applyAlignment="1">
      <alignment horizontal="center"/>
    </xf>
    <xf numFmtId="165" fontId="1" fillId="0" borderId="84" xfId="2" applyNumberFormat="1" applyBorder="1" applyAlignment="1">
      <alignment horizontal="center"/>
    </xf>
    <xf numFmtId="165" fontId="1" fillId="0" borderId="84" xfId="2" applyNumberFormat="1" applyBorder="1"/>
    <xf numFmtId="0" fontId="1" fillId="0" borderId="85" xfId="2" applyBorder="1"/>
    <xf numFmtId="0" fontId="1" fillId="0" borderId="86" xfId="2" applyBorder="1" applyAlignment="1">
      <alignment horizontal="center"/>
    </xf>
    <xf numFmtId="0" fontId="1" fillId="0" borderId="87" xfId="2" applyBorder="1" applyAlignment="1">
      <alignment horizontal="center"/>
    </xf>
    <xf numFmtId="164" fontId="1" fillId="0" borderId="88" xfId="2" applyNumberFormat="1" applyBorder="1" applyAlignment="1">
      <alignment horizontal="center"/>
    </xf>
    <xf numFmtId="165" fontId="1" fillId="0" borderId="88" xfId="2" applyNumberFormat="1" applyBorder="1" applyAlignment="1">
      <alignment horizontal="center"/>
    </xf>
    <xf numFmtId="165" fontId="1" fillId="0" borderId="88" xfId="2" applyNumberFormat="1" applyBorder="1"/>
    <xf numFmtId="164" fontId="1" fillId="0" borderId="89" xfId="2" applyNumberFormat="1" applyBorder="1" applyAlignment="1">
      <alignment horizontal="center"/>
    </xf>
    <xf numFmtId="165" fontId="1" fillId="0" borderId="89" xfId="2" applyNumberFormat="1" applyBorder="1" applyAlignment="1">
      <alignment horizontal="center"/>
    </xf>
    <xf numFmtId="165" fontId="1" fillId="0" borderId="89" xfId="2" applyNumberFormat="1" applyBorder="1"/>
    <xf numFmtId="166" fontId="1" fillId="0" borderId="14" xfId="2" applyNumberFormat="1" applyBorder="1" applyAlignment="1">
      <alignment horizontal="center"/>
    </xf>
    <xf numFmtId="164" fontId="1" fillId="0" borderId="15" xfId="2" applyNumberFormat="1" applyBorder="1" applyAlignment="1">
      <alignment horizontal="center"/>
    </xf>
    <xf numFmtId="165" fontId="1" fillId="0" borderId="15" xfId="2" applyNumberFormat="1" applyBorder="1" applyAlignment="1">
      <alignment horizontal="right"/>
    </xf>
    <xf numFmtId="165" fontId="1" fillId="0" borderId="15" xfId="2" applyNumberFormat="1" applyBorder="1"/>
    <xf numFmtId="9" fontId="1" fillId="0" borderId="90" xfId="1" applyBorder="1" applyAlignment="1">
      <alignment horizontal="center"/>
    </xf>
    <xf numFmtId="164" fontId="1" fillId="0" borderId="91" xfId="2" applyNumberFormat="1" applyBorder="1" applyAlignment="1">
      <alignment horizontal="center"/>
    </xf>
    <xf numFmtId="165" fontId="1" fillId="0" borderId="91" xfId="2" applyNumberFormat="1" applyBorder="1" applyAlignment="1">
      <alignment horizontal="right"/>
    </xf>
    <xf numFmtId="165" fontId="1" fillId="0" borderId="91" xfId="2" applyNumberFormat="1" applyBorder="1"/>
    <xf numFmtId="0" fontId="1" fillId="0" borderId="92" xfId="2" applyBorder="1" applyAlignment="1">
      <alignment horizontal="center"/>
    </xf>
    <xf numFmtId="165" fontId="1" fillId="0" borderId="37" xfId="2" applyNumberFormat="1" applyBorder="1" applyAlignment="1">
      <alignment horizontal="center"/>
    </xf>
    <xf numFmtId="0" fontId="1" fillId="0" borderId="93" xfId="2" applyBorder="1" applyAlignment="1">
      <alignment horizontal="center"/>
    </xf>
    <xf numFmtId="166" fontId="1" fillId="0" borderId="28" xfId="2" applyNumberFormat="1" applyBorder="1" applyAlignment="1">
      <alignment horizontal="center"/>
    </xf>
    <xf numFmtId="164" fontId="1" fillId="0" borderId="92" xfId="2" applyNumberFormat="1" applyBorder="1" applyAlignment="1">
      <alignment horizontal="center"/>
    </xf>
    <xf numFmtId="165" fontId="1" fillId="0" borderId="92" xfId="2" applyNumberFormat="1" applyBorder="1" applyAlignment="1">
      <alignment horizontal="right"/>
    </xf>
    <xf numFmtId="165" fontId="1" fillId="0" borderId="92" xfId="2" applyNumberFormat="1" applyBorder="1"/>
    <xf numFmtId="0" fontId="1" fillId="0" borderId="38" xfId="2" applyBorder="1" applyAlignment="1">
      <alignment horizontal="center"/>
    </xf>
    <xf numFmtId="0" fontId="1" fillId="0" borderId="94" xfId="2" applyBorder="1" applyAlignment="1">
      <alignment horizontal="center"/>
    </xf>
    <xf numFmtId="0" fontId="1" fillId="0" borderId="95" xfId="2" applyBorder="1" applyAlignment="1">
      <alignment horizontal="center"/>
    </xf>
    <xf numFmtId="0" fontId="1" fillId="0" borderId="39" xfId="2" applyBorder="1" applyAlignment="1">
      <alignment horizontal="center"/>
    </xf>
    <xf numFmtId="164" fontId="1" fillId="0" borderId="96" xfId="2" applyNumberFormat="1" applyBorder="1" applyAlignment="1">
      <alignment horizontal="center"/>
    </xf>
    <xf numFmtId="165" fontId="1" fillId="0" borderId="96" xfId="2" applyNumberFormat="1" applyBorder="1" applyAlignment="1">
      <alignment horizontal="right"/>
    </xf>
    <xf numFmtId="165" fontId="1" fillId="0" borderId="89" xfId="2" applyNumberFormat="1" applyBorder="1" applyAlignment="1">
      <alignment horizontal="right"/>
    </xf>
    <xf numFmtId="165" fontId="1" fillId="0" borderId="96" xfId="2" applyNumberFormat="1" applyBorder="1"/>
    <xf numFmtId="9" fontId="1" fillId="0" borderId="10" xfId="1" applyBorder="1" applyAlignment="1">
      <alignment horizontal="center"/>
    </xf>
    <xf numFmtId="9" fontId="1" fillId="0" borderId="38" xfId="1" applyBorder="1" applyAlignment="1">
      <alignment horizontal="center"/>
    </xf>
    <xf numFmtId="9" fontId="1" fillId="0" borderId="12" xfId="1" applyBorder="1" applyAlignment="1">
      <alignment horizontal="center"/>
    </xf>
    <xf numFmtId="0" fontId="1" fillId="4" borderId="8" xfId="2" applyFill="1" applyBorder="1" applyAlignment="1">
      <alignment horizontal="center"/>
    </xf>
    <xf numFmtId="0" fontId="1" fillId="4" borderId="0" xfId="2" applyFill="1" applyAlignment="1">
      <alignment horizontal="center"/>
    </xf>
    <xf numFmtId="0" fontId="1" fillId="4" borderId="18" xfId="2" applyFill="1" applyBorder="1" applyAlignment="1">
      <alignment horizontal="center"/>
    </xf>
    <xf numFmtId="0" fontId="1" fillId="0" borderId="97" xfId="2" applyBorder="1" applyAlignment="1">
      <alignment horizontal="center"/>
    </xf>
    <xf numFmtId="164" fontId="1" fillId="0" borderId="95" xfId="2" applyNumberFormat="1" applyBorder="1" applyAlignment="1">
      <alignment horizontal="center"/>
    </xf>
    <xf numFmtId="165" fontId="1" fillId="0" borderId="98" xfId="2" applyNumberFormat="1" applyBorder="1" applyAlignment="1">
      <alignment horizontal="right"/>
    </xf>
    <xf numFmtId="165" fontId="1" fillId="0" borderId="98" xfId="2" applyNumberFormat="1" applyBorder="1"/>
    <xf numFmtId="165" fontId="1" fillId="0" borderId="99" xfId="2" applyNumberFormat="1" applyBorder="1" applyAlignment="1">
      <alignment horizontal="right"/>
    </xf>
    <xf numFmtId="0" fontId="1" fillId="0" borderId="100" xfId="2" applyBorder="1" applyAlignment="1">
      <alignment horizontal="center"/>
    </xf>
    <xf numFmtId="0" fontId="1" fillId="0" borderId="101" xfId="2" applyBorder="1"/>
    <xf numFmtId="0" fontId="1" fillId="4" borderId="10" xfId="2" applyFill="1" applyBorder="1" applyAlignment="1">
      <alignment horizontal="center"/>
    </xf>
    <xf numFmtId="0" fontId="1" fillId="4" borderId="37" xfId="2" applyFill="1" applyBorder="1" applyAlignment="1">
      <alignment horizontal="center"/>
    </xf>
    <xf numFmtId="0" fontId="1" fillId="0" borderId="45" xfId="2" applyBorder="1" applyAlignment="1">
      <alignment horizontal="center"/>
    </xf>
    <xf numFmtId="166" fontId="1" fillId="0" borderId="39" xfId="2" applyNumberFormat="1" applyBorder="1" applyAlignment="1">
      <alignment horizontal="center"/>
    </xf>
    <xf numFmtId="164" fontId="1" fillId="0" borderId="29" xfId="2" applyNumberFormat="1" applyBorder="1" applyAlignment="1">
      <alignment horizontal="center"/>
    </xf>
    <xf numFmtId="165" fontId="1" fillId="0" borderId="102" xfId="2" applyNumberFormat="1" applyBorder="1" applyAlignment="1">
      <alignment horizontal="right"/>
    </xf>
    <xf numFmtId="165" fontId="1" fillId="0" borderId="97" xfId="2" applyNumberFormat="1" applyBorder="1"/>
    <xf numFmtId="9" fontId="1" fillId="0" borderId="44" xfId="1" applyBorder="1" applyAlignment="1">
      <alignment horizontal="center"/>
    </xf>
    <xf numFmtId="9" fontId="1" fillId="0" borderId="45" xfId="1" applyBorder="1" applyAlignment="1">
      <alignment horizontal="center"/>
    </xf>
    <xf numFmtId="9" fontId="1" fillId="0" borderId="103" xfId="1" applyBorder="1" applyAlignment="1">
      <alignment horizontal="center"/>
    </xf>
    <xf numFmtId="0" fontId="1" fillId="4" borderId="51" xfId="2" applyFill="1" applyBorder="1" applyAlignment="1">
      <alignment horizontal="center"/>
    </xf>
    <xf numFmtId="0" fontId="1" fillId="4" borderId="32" xfId="2" applyFill="1" applyBorder="1" applyAlignment="1">
      <alignment horizontal="center"/>
    </xf>
    <xf numFmtId="164" fontId="1" fillId="0" borderId="104" xfId="2" applyNumberFormat="1" applyBorder="1" applyAlignment="1">
      <alignment horizontal="center"/>
    </xf>
    <xf numFmtId="9" fontId="1" fillId="0" borderId="51" xfId="1" applyBorder="1" applyAlignment="1">
      <alignment horizontal="center"/>
    </xf>
    <xf numFmtId="9" fontId="1" fillId="0" borderId="32" xfId="1" applyBorder="1" applyAlignment="1">
      <alignment horizontal="center"/>
    </xf>
    <xf numFmtId="9" fontId="1" fillId="0" borderId="105" xfId="1" applyBorder="1" applyAlignment="1">
      <alignment horizontal="center"/>
    </xf>
    <xf numFmtId="0" fontId="1" fillId="4" borderId="53" xfId="2" applyFill="1" applyBorder="1" applyAlignment="1">
      <alignment horizontal="center"/>
    </xf>
    <xf numFmtId="164" fontId="1" fillId="0" borderId="106" xfId="2" applyNumberFormat="1" applyBorder="1" applyAlignment="1">
      <alignment horizontal="center"/>
    </xf>
    <xf numFmtId="165" fontId="1" fillId="0" borderId="107" xfId="2" applyNumberFormat="1" applyBorder="1" applyAlignment="1">
      <alignment horizontal="right"/>
    </xf>
    <xf numFmtId="9" fontId="1" fillId="0" borderId="37" xfId="1" applyBorder="1" applyAlignment="1">
      <alignment horizontal="center"/>
    </xf>
    <xf numFmtId="0" fontId="1" fillId="0" borderId="108" xfId="2" applyBorder="1"/>
    <xf numFmtId="0" fontId="1" fillId="0" borderId="109" xfId="2" applyBorder="1" applyAlignment="1">
      <alignment horizontal="center"/>
    </xf>
    <xf numFmtId="0" fontId="1" fillId="4" borderId="4" xfId="2" applyFill="1" applyBorder="1" applyAlignment="1">
      <alignment horizontal="center"/>
    </xf>
    <xf numFmtId="166" fontId="1" fillId="0" borderId="5" xfId="2" applyNumberFormat="1" applyBorder="1" applyAlignment="1">
      <alignment horizontal="center"/>
    </xf>
    <xf numFmtId="164" fontId="1" fillId="0" borderId="40" xfId="2" applyNumberFormat="1" applyBorder="1" applyAlignment="1">
      <alignment horizontal="center"/>
    </xf>
    <xf numFmtId="165" fontId="1" fillId="0" borderId="40" xfId="2" applyNumberFormat="1" applyBorder="1" applyAlignment="1">
      <alignment horizontal="right"/>
    </xf>
    <xf numFmtId="165" fontId="1" fillId="0" borderId="40" xfId="2" applyNumberFormat="1" applyBorder="1"/>
    <xf numFmtId="9" fontId="1" fillId="0" borderId="3" xfId="1" applyBorder="1" applyAlignment="1">
      <alignment horizontal="center"/>
    </xf>
    <xf numFmtId="9" fontId="1" fillId="0" borderId="4" xfId="1" applyBorder="1" applyAlignment="1">
      <alignment horizontal="center"/>
    </xf>
    <xf numFmtId="9" fontId="1" fillId="0" borderId="110" xfId="1" applyBorder="1" applyAlignment="1">
      <alignment horizontal="center"/>
    </xf>
    <xf numFmtId="166" fontId="1" fillId="0" borderId="19" xfId="2" applyNumberFormat="1" applyBorder="1" applyAlignment="1">
      <alignment horizontal="center"/>
    </xf>
    <xf numFmtId="164" fontId="1" fillId="0" borderId="20" xfId="2" applyNumberFormat="1" applyBorder="1" applyAlignment="1">
      <alignment horizontal="center"/>
    </xf>
    <xf numFmtId="165" fontId="1" fillId="0" borderId="20" xfId="2" applyNumberFormat="1" applyBorder="1" applyAlignment="1">
      <alignment horizontal="right"/>
    </xf>
    <xf numFmtId="165" fontId="1" fillId="0" borderId="20" xfId="2" applyNumberFormat="1" applyBorder="1"/>
    <xf numFmtId="9" fontId="1" fillId="0" borderId="111" xfId="1" applyBorder="1" applyAlignment="1">
      <alignment horizontal="center"/>
    </xf>
    <xf numFmtId="165" fontId="1" fillId="0" borderId="29" xfId="2" applyNumberFormat="1" applyBorder="1" applyAlignment="1">
      <alignment horizontal="right"/>
    </xf>
    <xf numFmtId="165" fontId="1" fillId="0" borderId="29" xfId="2" applyNumberFormat="1" applyBorder="1"/>
    <xf numFmtId="9" fontId="1" fillId="0" borderId="112" xfId="1" applyBorder="1" applyAlignment="1">
      <alignment horizontal="center"/>
    </xf>
    <xf numFmtId="9" fontId="1" fillId="0" borderId="0" xfId="2" applyNumberFormat="1"/>
    <xf numFmtId="0" fontId="1" fillId="4" borderId="8" xfId="2" applyFill="1" applyBorder="1" applyAlignment="1">
      <alignment horizontal="center" wrapText="1"/>
    </xf>
    <xf numFmtId="0" fontId="1" fillId="4" borderId="63" xfId="2" applyFill="1" applyBorder="1" applyAlignment="1">
      <alignment horizontal="center"/>
    </xf>
    <xf numFmtId="166" fontId="1" fillId="0" borderId="64" xfId="2" applyNumberFormat="1" applyBorder="1" applyAlignment="1">
      <alignment horizontal="center"/>
    </xf>
    <xf numFmtId="164" fontId="1" fillId="0" borderId="65" xfId="2" applyNumberFormat="1" applyBorder="1" applyAlignment="1">
      <alignment horizontal="center"/>
    </xf>
    <xf numFmtId="165" fontId="1" fillId="0" borderId="65" xfId="2" applyNumberFormat="1" applyBorder="1" applyAlignment="1">
      <alignment horizontal="right"/>
    </xf>
    <xf numFmtId="165" fontId="1" fillId="0" borderId="65" xfId="2" applyNumberFormat="1" applyBorder="1"/>
    <xf numFmtId="9" fontId="1" fillId="0" borderId="113" xfId="1" applyBorder="1" applyAlignment="1">
      <alignment horizontal="center"/>
    </xf>
    <xf numFmtId="9" fontId="1" fillId="0" borderId="63" xfId="1" applyBorder="1" applyAlignment="1">
      <alignment horizontal="center"/>
    </xf>
    <xf numFmtId="9" fontId="1" fillId="0" borderId="114" xfId="1" applyBorder="1" applyAlignment="1">
      <alignment horizontal="center"/>
    </xf>
    <xf numFmtId="0" fontId="1" fillId="4" borderId="73" xfId="2" applyFill="1" applyBorder="1" applyAlignment="1">
      <alignment horizontal="center"/>
    </xf>
    <xf numFmtId="166" fontId="1" fillId="0" borderId="74" xfId="2" applyNumberFormat="1" applyBorder="1" applyAlignment="1">
      <alignment horizontal="center"/>
    </xf>
    <xf numFmtId="164" fontId="1" fillId="0" borderId="75" xfId="2" applyNumberFormat="1" applyBorder="1" applyAlignment="1">
      <alignment horizontal="center"/>
    </xf>
    <xf numFmtId="165" fontId="1" fillId="0" borderId="75" xfId="2" applyNumberFormat="1" applyBorder="1" applyAlignment="1">
      <alignment horizontal="right"/>
    </xf>
    <xf numFmtId="165" fontId="1" fillId="0" borderId="75" xfId="2" applyNumberFormat="1" applyBorder="1"/>
    <xf numFmtId="9" fontId="1" fillId="0" borderId="115" xfId="1" applyBorder="1" applyAlignment="1">
      <alignment horizontal="center"/>
    </xf>
    <xf numFmtId="9" fontId="1" fillId="0" borderId="73" xfId="1" applyBorder="1" applyAlignment="1">
      <alignment horizontal="center"/>
    </xf>
    <xf numFmtId="9" fontId="1" fillId="0" borderId="116" xfId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165" fontId="2" fillId="2" borderId="5" xfId="2" applyNumberFormat="1" applyFont="1" applyFill="1" applyBorder="1" applyAlignment="1">
      <alignment horizontal="center"/>
    </xf>
    <xf numFmtId="165" fontId="2" fillId="2" borderId="2" xfId="2" applyNumberFormat="1" applyFont="1" applyFill="1" applyBorder="1" applyAlignment="1">
      <alignment horizontal="center"/>
    </xf>
    <xf numFmtId="165" fontId="2" fillId="2" borderId="3" xfId="2" applyNumberFormat="1" applyFont="1" applyFill="1" applyBorder="1" applyAlignment="1">
      <alignment horizontal="center"/>
    </xf>
    <xf numFmtId="9" fontId="2" fillId="2" borderId="6" xfId="1" applyFont="1" applyFill="1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165" fontId="2" fillId="3" borderId="8" xfId="2" applyNumberFormat="1" applyFont="1" applyFill="1" applyBorder="1" applyAlignment="1">
      <alignment horizontal="center"/>
    </xf>
    <xf numFmtId="165" fontId="2" fillId="2" borderId="77" xfId="2" applyNumberFormat="1" applyFont="1" applyFill="1" applyBorder="1" applyAlignment="1">
      <alignment horizontal="center"/>
    </xf>
  </cellXfs>
  <cellStyles count="4">
    <cellStyle name="Normal" xfId="0" builtinId="0"/>
    <cellStyle name="Normal 2" xfId="2" xr:uid="{9231B1CA-C180-4818-8FB0-A4ECEFAEB0C8}"/>
    <cellStyle name="Normal 3" xfId="3" xr:uid="{EAA15C42-2D59-43C2-BB8F-334D14D43068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/Ofertas%20P&#250;blicas%20(Imprensa)%20-%20Nov.25%20(SITE).xlsx" TargetMode="External"/><Relationship Id="rId2" Type="http://schemas.openxmlformats.org/officeDocument/2006/relationships/externalLinkPath" Target="file:///M:\Intra_Diretorias\419\Emissores\Companhias\1.2.%20Planilha%20de%20distribui&#231;&#245;es%20e%20ades&#245;es\Distribui&#231;&#245;es%20P&#250;blicas\Imprensa\2025\Ofertas%20P&#250;blicas%20(Imprensa)%20-%20Nov.25%20(SITE).xlsx" TargetMode="External"/><Relationship Id="rId1" Type="http://schemas.openxmlformats.org/officeDocument/2006/relationships/externalLinkPath" Target="/Intra_Diretorias/419/Emissores/Companhias/1.2.%20Planilha%20de%20distribui&#231;&#245;es%20e%20ades&#245;es/Distribui&#231;&#245;es%20P&#250;blicas/Imprensa/2025/Ofertas%20P&#250;blicas%20(Imprensa)%20-%20Nov.25%20(SITE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Planilha%20completa/2026/Distribui&#231;&#245;es%20(02.2026).xlsx" TargetMode="External"/><Relationship Id="rId2" Type="http://schemas.openxmlformats.org/officeDocument/2006/relationships/externalLinkPath" Target="file:///M:\Intra_Diretorias\419\Emissores\Companhias\1.2.%20Planilha%20de%20distribui&#231;&#245;es%20e%20ades&#245;es\Distribui&#231;&#245;es%20P&#250;blicas\Planilha%20completa\2026\Distribui&#231;&#245;es%20(02.2026).xlsx" TargetMode="External"/><Relationship Id="rId1" Type="http://schemas.openxmlformats.org/officeDocument/2006/relationships/externalLinkPath" Target="/Intra_Diretorias/419/Emissores/Companhias/1.2.%20Planilha%20de%20distribui&#231;&#245;es%20e%20ades&#245;es/Distribui&#231;&#245;es%20P&#250;blicas/Planilha%20completa/2026/Distribui&#231;&#245;es%20(02.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ITE (Imprensa)_PT"/>
      <sheetName val="SITE (Imprensa)_ING "/>
    </sheetNames>
    <sheetDataSet>
      <sheetData sheetId="0">
        <row r="4">
          <cell r="K4">
            <v>1010</v>
          </cell>
          <cell r="P4">
            <v>6.8671824509271437E-2</v>
          </cell>
          <cell r="Q4">
            <v>0.17572134189134389</v>
          </cell>
          <cell r="R4">
            <v>0.74824324968774769</v>
          </cell>
          <cell r="S4">
            <v>7.3635839116369933E-3</v>
          </cell>
        </row>
        <row r="5">
          <cell r="K5">
            <v>4376</v>
          </cell>
          <cell r="P5">
            <v>0.14086611445961328</v>
          </cell>
          <cell r="Q5">
            <v>0.15132485833167691</v>
          </cell>
          <cell r="R5">
            <v>0.67230899088075735</v>
          </cell>
          <cell r="S5">
            <v>3.5500036327952504E-2</v>
          </cell>
        </row>
        <row r="6">
          <cell r="K6">
            <v>11274</v>
          </cell>
          <cell r="P6">
            <v>0.10416096822995462</v>
          </cell>
          <cell r="Q6">
            <v>0.13028732223903178</v>
          </cell>
          <cell r="R6">
            <v>0.75367177004538577</v>
          </cell>
          <cell r="S6">
            <v>1.1879939485627837E-2</v>
          </cell>
        </row>
        <row r="7">
          <cell r="K7">
            <v>3275</v>
          </cell>
          <cell r="P7">
            <v>8.1711383399209483E-2</v>
          </cell>
          <cell r="Q7">
            <v>0.19502276679841898</v>
          </cell>
          <cell r="R7">
            <v>0.70870671936758889</v>
          </cell>
          <cell r="S7">
            <v>1.4559130434782609E-2</v>
          </cell>
        </row>
        <row r="8">
          <cell r="K8">
            <v>5130</v>
          </cell>
          <cell r="P8">
            <v>0.30075378164521294</v>
          </cell>
          <cell r="Q8">
            <v>0.23810974097702833</v>
          </cell>
          <cell r="R8">
            <v>0.40659325052413264</v>
          </cell>
          <cell r="S8">
            <v>5.4543226853626101E-2</v>
          </cell>
        </row>
        <row r="9">
          <cell r="K9">
            <v>2287</v>
          </cell>
          <cell r="P9">
            <v>5.2678683013820775E-2</v>
          </cell>
          <cell r="Q9">
            <v>0.20504084499925693</v>
          </cell>
          <cell r="R9">
            <v>0.73642744776341207</v>
          </cell>
          <cell r="S9">
            <v>5.8530242235101801E-3</v>
          </cell>
        </row>
        <row r="10">
          <cell r="K10">
            <v>2661</v>
          </cell>
          <cell r="P10">
            <v>7.2085297337554172E-2</v>
          </cell>
          <cell r="Q10">
            <v>0.22446591051652037</v>
          </cell>
          <cell r="R10">
            <v>0.69388879768091083</v>
          </cell>
          <cell r="S10">
            <v>9.5599944650146575E-3</v>
          </cell>
        </row>
        <row r="11">
          <cell r="K11">
            <v>7745</v>
          </cell>
          <cell r="P11">
            <v>0.16245688442211056</v>
          </cell>
          <cell r="Q11">
            <v>0.18904427135678392</v>
          </cell>
          <cell r="R11">
            <v>0.63814226130653262</v>
          </cell>
          <cell r="S11">
            <v>1.0356582914572865E-2</v>
          </cell>
        </row>
        <row r="12">
          <cell r="K12">
            <v>89</v>
          </cell>
          <cell r="P12">
            <v>1.1300088586105003E-2</v>
          </cell>
          <cell r="Q12">
            <v>0.17209472464070194</v>
          </cell>
          <cell r="R12">
            <v>0.81335375308152524</v>
          </cell>
          <cell r="S12">
            <v>3.251433691667866E-3</v>
          </cell>
        </row>
        <row r="13">
          <cell r="K13">
            <v>2815</v>
          </cell>
          <cell r="P13">
            <v>8.7210273480041636E-2</v>
          </cell>
          <cell r="Q13">
            <v>0.22275427437883991</v>
          </cell>
          <cell r="R13">
            <v>0.68241784416357965</v>
          </cell>
          <cell r="S13">
            <v>7.6176079775388227E-3</v>
          </cell>
        </row>
        <row r="14">
          <cell r="K14">
            <v>5757</v>
          </cell>
          <cell r="P14">
            <v>7.9173726256386676E-2</v>
          </cell>
          <cell r="Q14">
            <v>0.18708473848092852</v>
          </cell>
          <cell r="R14">
            <v>0.7137786710607763</v>
          </cell>
          <cell r="S14">
            <v>1.9962864201908549E-2</v>
          </cell>
        </row>
        <row r="15">
          <cell r="K15">
            <v>169</v>
          </cell>
          <cell r="P15">
            <v>4.8351127856414856E-2</v>
          </cell>
          <cell r="Q15">
            <v>0.13896637177197091</v>
          </cell>
          <cell r="R15">
            <v>0.78504903466545317</v>
          </cell>
          <cell r="S15">
            <v>2.7633465706161008E-2</v>
          </cell>
        </row>
        <row r="16">
          <cell r="K16">
            <v>66</v>
          </cell>
          <cell r="P16">
            <v>0.12963177591756925</v>
          </cell>
          <cell r="Q16">
            <v>0.52802837420350213</v>
          </cell>
          <cell r="R16">
            <v>0.28401620599711624</v>
          </cell>
          <cell r="S16">
            <v>5.8323643881812368E-2</v>
          </cell>
        </row>
        <row r="17">
          <cell r="K17">
            <v>315</v>
          </cell>
          <cell r="P17">
            <v>3.2629599007366901E-2</v>
          </cell>
          <cell r="Q17">
            <v>0.15792991887677715</v>
          </cell>
          <cell r="R17">
            <v>0.66331297193122341</v>
          </cell>
          <cell r="S17">
            <v>0.14612751018463258</v>
          </cell>
        </row>
        <row r="18">
          <cell r="K18">
            <v>4680</v>
          </cell>
          <cell r="P18">
            <v>0.17821548701298703</v>
          </cell>
          <cell r="Q18">
            <v>0.45734454545454545</v>
          </cell>
          <cell r="R18">
            <v>0.35107967532467532</v>
          </cell>
          <cell r="S18">
            <v>1.3360292207792208E-2</v>
          </cell>
        </row>
        <row r="19">
          <cell r="K19">
            <v>1402</v>
          </cell>
          <cell r="P19">
            <v>8.6912289799852868E-2</v>
          </cell>
          <cell r="Q19">
            <v>0.32188932672790277</v>
          </cell>
          <cell r="R19">
            <v>0.56771033610257593</v>
          </cell>
          <cell r="S19">
            <v>2.3488047369668339E-2</v>
          </cell>
        </row>
        <row r="20">
          <cell r="K20">
            <v>1589</v>
          </cell>
          <cell r="P20">
            <v>0.87065859999999995</v>
          </cell>
          <cell r="Q20">
            <v>1.0185300000000001E-2</v>
          </cell>
          <cell r="R20">
            <v>5.2089100000000006E-2</v>
          </cell>
          <cell r="S20">
            <v>6.7067000000000002E-2</v>
          </cell>
        </row>
        <row r="21">
          <cell r="K21">
            <v>1167</v>
          </cell>
          <cell r="P21">
            <v>8.5816619539345856E-2</v>
          </cell>
          <cell r="Q21">
            <v>0.11042386032399747</v>
          </cell>
          <cell r="R21">
            <v>0.79990194159465089</v>
          </cell>
          <cell r="S21">
            <v>3.8575785420057497E-3</v>
          </cell>
        </row>
        <row r="22">
          <cell r="K22">
            <v>3969</v>
          </cell>
          <cell r="P22">
            <v>8.858470559006211E-2</v>
          </cell>
          <cell r="Q22">
            <v>0.2329450931677019</v>
          </cell>
          <cell r="R22">
            <v>0.65442583850931679</v>
          </cell>
          <cell r="S22">
            <v>2.4044362732919256E-2</v>
          </cell>
        </row>
        <row r="23">
          <cell r="K23">
            <v>1466</v>
          </cell>
          <cell r="P23">
            <v>8.0113947502397281E-2</v>
          </cell>
          <cell r="Q23">
            <v>0.13830698811854636</v>
          </cell>
          <cell r="R23">
            <v>0.74808946064800641</v>
          </cell>
          <cell r="S23">
            <v>3.3489603731049804E-2</v>
          </cell>
        </row>
        <row r="24">
          <cell r="K24">
            <v>2379</v>
          </cell>
          <cell r="P24">
            <v>4.7624312333629099E-2</v>
          </cell>
          <cell r="Q24">
            <v>0.15055959775214431</v>
          </cell>
          <cell r="R24">
            <v>0.79227151730257306</v>
          </cell>
          <cell r="S24">
            <v>9.5445726116533559E-3</v>
          </cell>
        </row>
        <row r="25">
          <cell r="K25">
            <v>785</v>
          </cell>
          <cell r="P25">
            <v>8.2029748017389284E-2</v>
          </cell>
          <cell r="Q25">
            <v>4.0349202653940167E-2</v>
          </cell>
          <cell r="R25">
            <v>0.86661689432317945</v>
          </cell>
          <cell r="S25">
            <v>1.1004155005491085E-2</v>
          </cell>
        </row>
        <row r="26">
          <cell r="K26">
            <v>1171</v>
          </cell>
          <cell r="P26">
            <v>9.1328515732682233E-2</v>
          </cell>
          <cell r="Q26">
            <v>0.16127735333884666</v>
          </cell>
          <cell r="R26">
            <v>0.73807417398495645</v>
          </cell>
          <cell r="S26">
            <v>9.3199569435146162E-3</v>
          </cell>
        </row>
        <row r="27">
          <cell r="K27">
            <v>657</v>
          </cell>
          <cell r="P27">
            <v>1.7381361137518082E-2</v>
          </cell>
          <cell r="Q27">
            <v>0.17793288041473623</v>
          </cell>
          <cell r="R27">
            <v>0.80199920997291008</v>
          </cell>
          <cell r="S27">
            <v>2.686548474835607E-3</v>
          </cell>
        </row>
        <row r="28">
          <cell r="K28">
            <v>106</v>
          </cell>
          <cell r="P28">
            <v>1.8411596364719902E-2</v>
          </cell>
          <cell r="Q28">
            <v>0.11606454064758348</v>
          </cell>
          <cell r="R28">
            <v>0.86066164857145577</v>
          </cell>
          <cell r="S28">
            <v>4.8622144162407963E-3</v>
          </cell>
        </row>
        <row r="29">
          <cell r="K29">
            <v>460</v>
          </cell>
          <cell r="P29">
            <v>1.2570388923998119E-2</v>
          </cell>
          <cell r="Q29">
            <v>0.1546174565898947</v>
          </cell>
          <cell r="R29">
            <v>0.26359767195065553</v>
          </cell>
          <cell r="S29">
            <v>0.5692144825354517</v>
          </cell>
        </row>
        <row r="30">
          <cell r="K30">
            <v>1057</v>
          </cell>
          <cell r="P30">
            <v>7.9794400802306473E-2</v>
          </cell>
          <cell r="Q30">
            <v>0.20655435900311209</v>
          </cell>
          <cell r="R30">
            <v>0.70142169156092116</v>
          </cell>
          <cell r="S30">
            <v>1.2229548633660254E-2</v>
          </cell>
        </row>
        <row r="31">
          <cell r="K31">
            <v>932</v>
          </cell>
          <cell r="P31">
            <v>2.9388961589621433E-2</v>
          </cell>
          <cell r="Q31">
            <v>0.1540143441351805</v>
          </cell>
          <cell r="R31">
            <v>0.80465119961161347</v>
          </cell>
          <cell r="S31">
            <v>1.1945494663584633E-2</v>
          </cell>
        </row>
        <row r="32">
          <cell r="K32">
            <v>823</v>
          </cell>
          <cell r="P32">
            <v>8.5088494367967824E-2</v>
          </cell>
          <cell r="Q32">
            <v>0.23694778905746625</v>
          </cell>
          <cell r="R32">
            <v>0.67082687089035853</v>
          </cell>
          <cell r="S32">
            <v>7.1368456842074331E-3</v>
          </cell>
        </row>
        <row r="33">
          <cell r="K33">
            <v>1574</v>
          </cell>
          <cell r="P33">
            <v>8.3550852107407106E-2</v>
          </cell>
          <cell r="Q33">
            <v>0.18672499792168926</v>
          </cell>
          <cell r="R33">
            <v>0.7224429628398038</v>
          </cell>
          <cell r="S33">
            <v>7.2811871310998416E-3</v>
          </cell>
        </row>
        <row r="34">
          <cell r="K34">
            <v>7342</v>
          </cell>
          <cell r="P34">
            <v>7.061810547206436E-2</v>
          </cell>
          <cell r="Q34">
            <v>0.21591992324123915</v>
          </cell>
          <cell r="R34">
            <v>0.70600518497292442</v>
          </cell>
          <cell r="S34">
            <v>7.4567863137720378E-3</v>
          </cell>
        </row>
        <row r="35">
          <cell r="K35">
            <v>8835</v>
          </cell>
          <cell r="P35">
            <v>8.2878378643471487E-2</v>
          </cell>
          <cell r="Q35">
            <v>0.18421603376185941</v>
          </cell>
          <cell r="R35">
            <v>0.72297521454753866</v>
          </cell>
          <cell r="S35">
            <v>9.9303730471304984E-3</v>
          </cell>
        </row>
        <row r="36">
          <cell r="K36">
            <v>6351</v>
          </cell>
          <cell r="P36">
            <v>8.4687243510506799E-2</v>
          </cell>
          <cell r="Q36">
            <v>0.35782385661310262</v>
          </cell>
          <cell r="R36">
            <v>0.55052860321384423</v>
          </cell>
          <cell r="S36">
            <v>6.9602966625463532E-3</v>
          </cell>
        </row>
        <row r="37">
          <cell r="K37">
            <v>12890</v>
          </cell>
          <cell r="P37">
            <v>7.2507475044214037E-2</v>
          </cell>
          <cell r="Q37">
            <v>0.2122019588423707</v>
          </cell>
          <cell r="R37">
            <v>0.70989575782974634</v>
          </cell>
          <cell r="S37">
            <v>5.394808283668992E-3</v>
          </cell>
        </row>
        <row r="38">
          <cell r="K38">
            <v>6870</v>
          </cell>
          <cell r="P38">
            <v>0.11827067394332143</v>
          </cell>
          <cell r="Q38">
            <v>0.43583619318392341</v>
          </cell>
          <cell r="R38">
            <v>0.41675699151746798</v>
          </cell>
          <cell r="S38">
            <v>2.9136141355287172E-2</v>
          </cell>
        </row>
        <row r="39">
          <cell r="K39">
            <v>15465</v>
          </cell>
          <cell r="P39">
            <v>6.932671901025278E-2</v>
          </cell>
          <cell r="Q39">
            <v>0.17995897431038177</v>
          </cell>
          <cell r="R39">
            <v>0.73886237980199787</v>
          </cell>
          <cell r="S39">
            <v>1.1851926877367589E-2</v>
          </cell>
        </row>
        <row r="40">
          <cell r="K40">
            <v>7730</v>
          </cell>
          <cell r="P40">
            <v>7.7384722222222216E-2</v>
          </cell>
          <cell r="Q40">
            <v>0.22933722222222222</v>
          </cell>
          <cell r="R40">
            <v>0.68627736111111115</v>
          </cell>
          <cell r="S40">
            <v>7.0006944444444448E-3</v>
          </cell>
        </row>
        <row r="41">
          <cell r="K41">
            <v>3348</v>
          </cell>
          <cell r="P41">
            <v>7.2594839506172834E-2</v>
          </cell>
          <cell r="Q41">
            <v>0.12092846913580246</v>
          </cell>
          <cell r="R41">
            <v>0.80292745679012345</v>
          </cell>
          <cell r="S41">
            <v>3.5492345679012344E-3</v>
          </cell>
        </row>
        <row r="42">
          <cell r="K42">
            <v>13753</v>
          </cell>
          <cell r="P42">
            <v>8.964815646360326E-2</v>
          </cell>
          <cell r="Q42">
            <v>0.17935019707628599</v>
          </cell>
          <cell r="R42">
            <v>0.72243095345008235</v>
          </cell>
          <cell r="S42">
            <v>8.5706930100284389E-3</v>
          </cell>
        </row>
        <row r="43">
          <cell r="K43">
            <v>12903</v>
          </cell>
          <cell r="P43">
            <v>9.2559488636363638E-2</v>
          </cell>
          <cell r="Q43">
            <v>0.26853977272727275</v>
          </cell>
          <cell r="R43">
            <v>0.63618750000000002</v>
          </cell>
          <cell r="S43">
            <v>2.7132386363636365E-3</v>
          </cell>
        </row>
        <row r="44">
          <cell r="K44">
            <v>16017</v>
          </cell>
          <cell r="P44">
            <v>8.8108173913043472E-2</v>
          </cell>
          <cell r="Q44">
            <v>0.21268459130434783</v>
          </cell>
          <cell r="R44">
            <v>0.69445808695652178</v>
          </cell>
          <cell r="S44">
            <v>4.7491478260869562E-3</v>
          </cell>
        </row>
        <row r="45">
          <cell r="K45">
            <v>3510</v>
          </cell>
          <cell r="P45">
            <v>3.5161401866052801E-2</v>
          </cell>
          <cell r="Q45">
            <v>0.19000637598312647</v>
          </cell>
          <cell r="R45">
            <v>0.77077014116993636</v>
          </cell>
          <cell r="S45">
            <v>4.0620809808843417E-3</v>
          </cell>
        </row>
        <row r="46">
          <cell r="K46">
            <v>2063</v>
          </cell>
          <cell r="P46">
            <v>3.5627391159034613E-2</v>
          </cell>
          <cell r="Q46">
            <v>0.10744068697604221</v>
          </cell>
          <cell r="R46">
            <v>0.84918803973302015</v>
          </cell>
          <cell r="S46">
            <v>7.7438821319029865E-3</v>
          </cell>
        </row>
        <row r="47">
          <cell r="K47">
            <v>7365</v>
          </cell>
          <cell r="P47">
            <v>8.6677482555018781E-2</v>
          </cell>
          <cell r="Q47">
            <v>0.14472147074610842</v>
          </cell>
          <cell r="R47">
            <v>0.7664336822329576</v>
          </cell>
          <cell r="S47">
            <v>2.1673644659151907E-3</v>
          </cell>
        </row>
        <row r="48">
          <cell r="K48">
            <v>5976</v>
          </cell>
          <cell r="P48">
            <v>8.3145727260507118E-2</v>
          </cell>
          <cell r="Q48">
            <v>0.16557334615865185</v>
          </cell>
          <cell r="R48">
            <v>0.74989997325251612</v>
          </cell>
          <cell r="S48">
            <v>1.3809533283248906E-3</v>
          </cell>
        </row>
        <row r="49">
          <cell r="K49">
            <v>4291</v>
          </cell>
          <cell r="P49">
            <v>6.1074571428571429E-2</v>
          </cell>
          <cell r="Q49">
            <v>0.15003042857142856</v>
          </cell>
          <cell r="R49">
            <v>0.46428285714285716</v>
          </cell>
          <cell r="S49">
            <v>0.32461214285714285</v>
          </cell>
        </row>
        <row r="50">
          <cell r="K50">
            <v>0</v>
          </cell>
          <cell r="P50">
            <v>3.3927445066147307E-4</v>
          </cell>
          <cell r="Q50">
            <v>9.9578086343737576E-2</v>
          </cell>
          <cell r="R50">
            <v>0.8999848821604951</v>
          </cell>
          <cell r="S50">
            <v>9.7757045105848167E-5</v>
          </cell>
        </row>
        <row r="51">
          <cell r="K51">
            <v>2514</v>
          </cell>
          <cell r="P51">
            <v>8.3502224704636932E-2</v>
          </cell>
          <cell r="Q51">
            <v>0.17417925452781136</v>
          </cell>
          <cell r="R51">
            <v>0.7360311627211048</v>
          </cell>
          <cell r="S51">
            <v>6.287358046446913E-3</v>
          </cell>
        </row>
        <row r="52">
          <cell r="K52">
            <v>15132</v>
          </cell>
          <cell r="P52">
            <v>8.4696676923076919E-2</v>
          </cell>
          <cell r="Q52">
            <v>0.21285553846153846</v>
          </cell>
          <cell r="R52">
            <v>0.69714643076923077</v>
          </cell>
          <cell r="S52">
            <v>5.3013538461538457E-3</v>
          </cell>
        </row>
        <row r="53">
          <cell r="K53">
            <v>4084</v>
          </cell>
          <cell r="P53">
            <v>0.11253085449538529</v>
          </cell>
          <cell r="Q53">
            <v>0.23322481290916422</v>
          </cell>
          <cell r="R53">
            <v>0.53813143054448742</v>
          </cell>
          <cell r="S53">
            <v>0.11611290205096311</v>
          </cell>
        </row>
        <row r="54">
          <cell r="K54">
            <v>14362</v>
          </cell>
          <cell r="P54">
            <v>8.5677526706202378E-2</v>
          </cell>
          <cell r="Q54">
            <v>0.1551682562704737</v>
          </cell>
          <cell r="R54">
            <v>0.72076162534780119</v>
          </cell>
          <cell r="S54">
            <v>3.8392591675522794E-2</v>
          </cell>
        </row>
        <row r="55">
          <cell r="K55">
            <v>3</v>
          </cell>
          <cell r="P55">
            <v>1.5432098765432098E-3</v>
          </cell>
          <cell r="Q55">
            <v>3.137860082304527E-2</v>
          </cell>
          <cell r="R55">
            <v>0.82407407407407407</v>
          </cell>
          <cell r="S55">
            <v>0.14300411522633744</v>
          </cell>
        </row>
        <row r="56">
          <cell r="K56">
            <v>11198</v>
          </cell>
          <cell r="P56">
            <v>7.5820524797742705E-2</v>
          </cell>
          <cell r="Q56">
            <v>0.19384417844405805</v>
          </cell>
          <cell r="R56">
            <v>0.72849599784880725</v>
          </cell>
          <cell r="S56">
            <v>1.8392989093919383E-3</v>
          </cell>
        </row>
        <row r="57">
          <cell r="K57">
            <v>2356</v>
          </cell>
          <cell r="P57">
            <v>3.9467626944223975E-2</v>
          </cell>
          <cell r="Q57">
            <v>0.17410839460209149</v>
          </cell>
          <cell r="R57">
            <v>0.75689507224490482</v>
          </cell>
          <cell r="S57">
            <v>2.9528906208779539E-2</v>
          </cell>
        </row>
        <row r="58">
          <cell r="K58">
            <v>5470</v>
          </cell>
          <cell r="P58">
            <v>0.13531041986984157</v>
          </cell>
          <cell r="Q58">
            <v>0.13003502633668229</v>
          </cell>
          <cell r="R58">
            <v>0.71698253874368112</v>
          </cell>
          <cell r="S58">
            <v>1.7672015049795001E-2</v>
          </cell>
        </row>
        <row r="59">
          <cell r="K59">
            <v>272</v>
          </cell>
          <cell r="P59">
            <v>3.1793166666666664E-2</v>
          </cell>
          <cell r="Q59">
            <v>0.42966833333333332</v>
          </cell>
          <cell r="R59">
            <v>0.5383</v>
          </cell>
          <cell r="S59">
            <v>2.385E-4</v>
          </cell>
        </row>
        <row r="60">
          <cell r="K60">
            <v>48602</v>
          </cell>
          <cell r="P60">
            <v>0.28020221794397787</v>
          </cell>
          <cell r="Q60">
            <v>0.1857223963476218</v>
          </cell>
          <cell r="R60">
            <v>0.5086859678052662</v>
          </cell>
          <cell r="S60">
            <v>2.5389417903134117E-2</v>
          </cell>
        </row>
        <row r="61">
          <cell r="K61">
            <v>1283</v>
          </cell>
          <cell r="P61">
            <v>3.8783664847738077E-2</v>
          </cell>
          <cell r="Q61">
            <v>0.20289628586516459</v>
          </cell>
          <cell r="R61">
            <v>0.75482721351874671</v>
          </cell>
          <cell r="S61">
            <v>3.4928357683506423E-3</v>
          </cell>
        </row>
        <row r="62">
          <cell r="K62">
            <v>17</v>
          </cell>
          <cell r="P62">
            <v>4.2011655823986317E-3</v>
          </cell>
          <cell r="Q62">
            <v>0.1100774254155366</v>
          </cell>
          <cell r="R62">
            <v>0.75777318940094129</v>
          </cell>
          <cell r="S62">
            <v>0.12794821960112343</v>
          </cell>
        </row>
        <row r="63">
          <cell r="K63">
            <v>6</v>
          </cell>
          <cell r="P63">
            <v>1.1062237531129828E-2</v>
          </cell>
          <cell r="Q63">
            <v>3.5952271976171943E-2</v>
          </cell>
          <cell r="R63">
            <v>0.83197014302090344</v>
          </cell>
          <cell r="S63">
            <v>0.12101534747179475</v>
          </cell>
        </row>
        <row r="64">
          <cell r="K64">
            <v>3036</v>
          </cell>
          <cell r="P64">
            <v>2.415954203140477E-2</v>
          </cell>
          <cell r="Q64">
            <v>0.25403699986100237</v>
          </cell>
          <cell r="R64">
            <v>0.30451281029882576</v>
          </cell>
          <cell r="S64">
            <v>0.41729064780876701</v>
          </cell>
        </row>
        <row r="65">
          <cell r="K65">
            <v>3061</v>
          </cell>
          <cell r="P65">
            <v>6.8844331665594588E-2</v>
          </cell>
          <cell r="Q65">
            <v>0.16694425302111585</v>
          </cell>
          <cell r="R65">
            <v>0.75879727937373598</v>
          </cell>
          <cell r="S65">
            <v>5.4141359395535847E-3</v>
          </cell>
        </row>
        <row r="66">
          <cell r="K66">
            <v>3660</v>
          </cell>
          <cell r="P66">
            <v>8.8191378598107578E-2</v>
          </cell>
          <cell r="Q66">
            <v>0.3037705831296853</v>
          </cell>
          <cell r="R66">
            <v>0.60090558189683629</v>
          </cell>
          <cell r="S66">
            <v>7.1324563753708417E-3</v>
          </cell>
        </row>
        <row r="67">
          <cell r="K67">
            <v>4624</v>
          </cell>
          <cell r="P67">
            <v>8.6502840220756494E-2</v>
          </cell>
          <cell r="Q67">
            <v>0.2590074034190335</v>
          </cell>
          <cell r="R67">
            <v>0.65090281329923272</v>
          </cell>
          <cell r="S67">
            <v>3.5869430609772514E-3</v>
          </cell>
        </row>
        <row r="68">
          <cell r="K68">
            <v>4209</v>
          </cell>
          <cell r="P68">
            <v>8.4064428925433657E-2</v>
          </cell>
          <cell r="Q68">
            <v>0.1400592120083945</v>
          </cell>
          <cell r="R68">
            <v>0.77116885026262438</v>
          </cell>
          <cell r="S68">
            <v>4.7075088035475037E-3</v>
          </cell>
        </row>
        <row r="69">
          <cell r="K69">
            <v>3363</v>
          </cell>
          <cell r="P69">
            <v>8.4262434984598289E-2</v>
          </cell>
          <cell r="Q69">
            <v>0.20212790991263949</v>
          </cell>
          <cell r="R69">
            <v>0.70858203302529921</v>
          </cell>
          <cell r="S69">
            <v>5.0276220774630107E-3</v>
          </cell>
        </row>
        <row r="70">
          <cell r="K70">
            <v>4212</v>
          </cell>
          <cell r="P70">
            <v>7.4491956521739136E-2</v>
          </cell>
          <cell r="Q70">
            <v>0.14214073369565217</v>
          </cell>
          <cell r="R70">
            <v>0.47463559782608694</v>
          </cell>
          <cell r="S70">
            <v>0.30873171195652171</v>
          </cell>
        </row>
        <row r="71">
          <cell r="K71">
            <v>4272</v>
          </cell>
          <cell r="P71">
            <v>7.0529252525252523E-2</v>
          </cell>
          <cell r="Q71">
            <v>5.0653804713804713E-2</v>
          </cell>
          <cell r="R71">
            <v>0.87445925925925927</v>
          </cell>
          <cell r="S71">
            <v>4.3576835016835014E-3</v>
          </cell>
        </row>
        <row r="72">
          <cell r="K72">
            <v>4514</v>
          </cell>
          <cell r="P72">
            <v>8.9045049088359043E-2</v>
          </cell>
          <cell r="Q72">
            <v>0.20718092566619917</v>
          </cell>
          <cell r="R72">
            <v>0.70000706872370266</v>
          </cell>
          <cell r="S72">
            <v>3.7669565217391303E-3</v>
          </cell>
        </row>
        <row r="73">
          <cell r="K73">
            <v>6258</v>
          </cell>
          <cell r="P73">
            <v>7.8950110103552934E-2</v>
          </cell>
          <cell r="Q73">
            <v>0.23453110677955258</v>
          </cell>
          <cell r="R73">
            <v>0.64922140352884294</v>
          </cell>
          <cell r="S73">
            <v>3.7297379588051557E-2</v>
          </cell>
        </row>
        <row r="74">
          <cell r="K74">
            <v>9315</v>
          </cell>
          <cell r="P74">
            <v>8.6182270104504452E-2</v>
          </cell>
          <cell r="Q74">
            <v>0.23107584202900358</v>
          </cell>
          <cell r="R74">
            <v>0.59089254472689401</v>
          </cell>
          <cell r="S74">
            <v>9.1849343139598E-2</v>
          </cell>
        </row>
        <row r="75">
          <cell r="K75">
            <v>8675</v>
          </cell>
          <cell r="P75">
            <v>8.8629446094992737E-2</v>
          </cell>
          <cell r="Q75">
            <v>0.25896213215927744</v>
          </cell>
          <cell r="R75">
            <v>0.62709251938950994</v>
          </cell>
          <cell r="S75">
            <v>2.5315902356219888E-2</v>
          </cell>
        </row>
        <row r="76">
          <cell r="K76">
            <v>18466</v>
          </cell>
          <cell r="P76">
            <v>9.3250077448747151E-2</v>
          </cell>
          <cell r="Q76">
            <v>0.25465326651480635</v>
          </cell>
          <cell r="R76">
            <v>0.64184878359908881</v>
          </cell>
          <cell r="S76">
            <v>1.0247872437357631E-2</v>
          </cell>
        </row>
        <row r="77">
          <cell r="K77">
            <v>6445</v>
          </cell>
          <cell r="P77">
            <v>0.10242878718918334</v>
          </cell>
          <cell r="Q77">
            <v>0.10451032085040707</v>
          </cell>
          <cell r="R77">
            <v>0.74529113628097421</v>
          </cell>
          <cell r="S77">
            <v>4.7769755679435436E-2</v>
          </cell>
        </row>
        <row r="78">
          <cell r="K78">
            <v>9803</v>
          </cell>
          <cell r="P78">
            <v>0.1081038506909336</v>
          </cell>
          <cell r="Q78">
            <v>0.17753437815975734</v>
          </cell>
          <cell r="R78">
            <v>0.71061151836872261</v>
          </cell>
          <cell r="S78">
            <v>3.7502527805864509E-3</v>
          </cell>
        </row>
        <row r="79">
          <cell r="K79">
            <v>10039</v>
          </cell>
          <cell r="P79">
            <v>9.8349116646167634E-2</v>
          </cell>
          <cell r="Q79">
            <v>0.20742772746195359</v>
          </cell>
          <cell r="R79">
            <v>0.69013348696557997</v>
          </cell>
          <cell r="S79">
            <v>4.0896689262988461E-3</v>
          </cell>
        </row>
        <row r="80">
          <cell r="K80">
            <v>11826</v>
          </cell>
          <cell r="P80">
            <v>9.4026454106280188E-2</v>
          </cell>
          <cell r="Q80">
            <v>6.179400966183575E-2</v>
          </cell>
          <cell r="R80">
            <v>0.8359644444444444</v>
          </cell>
          <cell r="S80">
            <v>8.2150917874396143E-3</v>
          </cell>
        </row>
        <row r="81">
          <cell r="K81">
            <v>13963</v>
          </cell>
          <cell r="P81">
            <v>0.10657260869565217</v>
          </cell>
          <cell r="Q81">
            <v>0.22176391304347826</v>
          </cell>
          <cell r="R81">
            <v>0.66993608695652174</v>
          </cell>
          <cell r="S81">
            <v>1.727391304347826E-3</v>
          </cell>
        </row>
        <row r="82">
          <cell r="K82">
            <v>22002</v>
          </cell>
          <cell r="P82">
            <v>0.1277443026025194</v>
          </cell>
          <cell r="Q82">
            <v>0.3806971831086276</v>
          </cell>
          <cell r="R82">
            <v>0.48324986674516585</v>
          </cell>
          <cell r="S82">
            <v>8.3086475436871393E-3</v>
          </cell>
        </row>
        <row r="83">
          <cell r="K83">
            <v>17187</v>
          </cell>
          <cell r="P83">
            <v>0.10218897778807874</v>
          </cell>
          <cell r="Q83">
            <v>0.17260137616220186</v>
          </cell>
          <cell r="R83">
            <v>0.59367600702446843</v>
          </cell>
          <cell r="S83">
            <v>0.131533639025251</v>
          </cell>
        </row>
        <row r="84">
          <cell r="K84">
            <v>16710</v>
          </cell>
          <cell r="P84">
            <v>9.1357610766719333E-2</v>
          </cell>
          <cell r="Q84">
            <v>0.1796770977133669</v>
          </cell>
          <cell r="R84">
            <v>0.72439976755741953</v>
          </cell>
          <cell r="S84">
            <v>4.5655239624942476E-3</v>
          </cell>
        </row>
        <row r="85">
          <cell r="K85">
            <v>3936</v>
          </cell>
          <cell r="P85">
            <v>2.0537318884625285E-2</v>
          </cell>
          <cell r="Q85">
            <v>9.8686695855179057E-2</v>
          </cell>
          <cell r="R85">
            <v>0.88041722781906206</v>
          </cell>
          <cell r="S85">
            <v>3.5875744113362677E-4</v>
          </cell>
        </row>
        <row r="86">
          <cell r="K86">
            <v>2866</v>
          </cell>
          <cell r="P86">
            <v>9.8276757921180652E-2</v>
          </cell>
          <cell r="Q86">
            <v>0.3183769796794188</v>
          </cell>
          <cell r="R86">
            <v>0.57541731678623453</v>
          </cell>
          <cell r="S86">
            <v>7.9289456131660038E-3</v>
          </cell>
        </row>
        <row r="87">
          <cell r="K87">
            <v>24369</v>
          </cell>
          <cell r="P87">
            <v>0.1025470166163142</v>
          </cell>
          <cell r="Q87">
            <v>0.28305664652567974</v>
          </cell>
          <cell r="R87">
            <v>0.5342703455438067</v>
          </cell>
          <cell r="S87">
            <v>8.0125991314199396E-2</v>
          </cell>
        </row>
        <row r="88">
          <cell r="K88">
            <v>14427</v>
          </cell>
          <cell r="P88">
            <v>9.1264498327759194E-2</v>
          </cell>
          <cell r="Q88">
            <v>0.14677496655518393</v>
          </cell>
          <cell r="R88">
            <v>0.75946956521739128</v>
          </cell>
          <cell r="S88">
            <v>2.4909698996655517E-3</v>
          </cell>
        </row>
        <row r="89">
          <cell r="K89">
            <v>13593</v>
          </cell>
          <cell r="P89">
            <v>9.0977953447518661E-2</v>
          </cell>
          <cell r="Q89">
            <v>0.1501190689503733</v>
          </cell>
          <cell r="R89">
            <v>0.75558208168642949</v>
          </cell>
          <cell r="S89">
            <v>3.3208959156785242E-3</v>
          </cell>
        </row>
        <row r="90">
          <cell r="K90">
            <v>5179</v>
          </cell>
          <cell r="P90">
            <v>1.7998182075049541E-2</v>
          </cell>
          <cell r="Q90">
            <v>4.4139026804235468E-2</v>
          </cell>
          <cell r="R90">
            <v>0.92686157975286365</v>
          </cell>
          <cell r="S90">
            <v>1.1001211367851359E-2</v>
          </cell>
        </row>
        <row r="91">
          <cell r="K91">
            <v>22662</v>
          </cell>
          <cell r="P91">
            <v>8.7549017391304343E-2</v>
          </cell>
          <cell r="Q91">
            <v>0.13164175217391305</v>
          </cell>
          <cell r="R91">
            <v>0.74229666086956525</v>
          </cell>
          <cell r="S91">
            <v>3.851256956521739E-2</v>
          </cell>
        </row>
        <row r="92">
          <cell r="K92">
            <v>20007</v>
          </cell>
          <cell r="P92">
            <v>8.7947833309374349E-2</v>
          </cell>
          <cell r="Q92">
            <v>0.12637973389557078</v>
          </cell>
          <cell r="R92">
            <v>0.7844617055600811</v>
          </cell>
          <cell r="S92">
            <v>1.2107272349737249E-3</v>
          </cell>
        </row>
        <row r="93">
          <cell r="K93">
            <v>11251</v>
          </cell>
          <cell r="P93">
            <v>9.8570649999999996E-2</v>
          </cell>
          <cell r="Q93">
            <v>0.20146249999999999</v>
          </cell>
          <cell r="R93">
            <v>0.52511792499999999</v>
          </cell>
          <cell r="S93">
            <v>0.17484892499999999</v>
          </cell>
        </row>
        <row r="94">
          <cell r="K94">
            <v>13777</v>
          </cell>
          <cell r="P94">
            <v>0.10142228878442967</v>
          </cell>
          <cell r="Q94">
            <v>0.21606554127661737</v>
          </cell>
          <cell r="R94">
            <v>0.68097424418826791</v>
          </cell>
          <cell r="S94">
            <v>1.5379257506850975E-3</v>
          </cell>
        </row>
        <row r="95">
          <cell r="K95">
            <v>9169</v>
          </cell>
          <cell r="P95">
            <v>0.11210738082184372</v>
          </cell>
          <cell r="Q95">
            <v>0.23125582406855996</v>
          </cell>
          <cell r="R95">
            <v>0.65372355723336062</v>
          </cell>
          <cell r="S95">
            <v>2.9132378762356799E-3</v>
          </cell>
        </row>
        <row r="96">
          <cell r="K96">
            <v>4524</v>
          </cell>
          <cell r="P96">
            <v>8.6073709528214609E-2</v>
          </cell>
          <cell r="Q96">
            <v>1.3013876040703053E-2</v>
          </cell>
          <cell r="R96">
            <v>0.89260917668825157</v>
          </cell>
          <cell r="S96">
            <v>8.3032377428307116E-3</v>
          </cell>
        </row>
        <row r="97">
          <cell r="K97">
            <v>9576</v>
          </cell>
          <cell r="P97">
            <v>8.5067933471759061E-2</v>
          </cell>
          <cell r="Q97">
            <v>0.21442144340275593</v>
          </cell>
          <cell r="R97">
            <v>0.56849669665890645</v>
          </cell>
          <cell r="S97">
            <v>0.13201392646657858</v>
          </cell>
        </row>
        <row r="98">
          <cell r="K98">
            <v>2375</v>
          </cell>
          <cell r="P98">
            <v>5.3900283077365378E-2</v>
          </cell>
          <cell r="Q98">
            <v>0.17656817766233643</v>
          </cell>
          <cell r="R98">
            <v>0.43783759955567131</v>
          </cell>
          <cell r="S98">
            <v>0.33169393970462685</v>
          </cell>
        </row>
        <row r="99">
          <cell r="K99">
            <v>8629</v>
          </cell>
          <cell r="P99">
            <v>8.8202593487618539E-2</v>
          </cell>
          <cell r="Q99">
            <v>0.1961198022625234</v>
          </cell>
          <cell r="R99">
            <v>0.70451457043078836</v>
          </cell>
          <cell r="S99">
            <v>1.1163033819069693E-2</v>
          </cell>
        </row>
        <row r="100">
          <cell r="K100">
            <v>2755</v>
          </cell>
          <cell r="P100">
            <v>7.4582784686661796E-2</v>
          </cell>
          <cell r="Q100">
            <v>0</v>
          </cell>
          <cell r="R100">
            <v>0</v>
          </cell>
          <cell r="S100">
            <v>0.9254172153133382</v>
          </cell>
        </row>
        <row r="101">
          <cell r="K101">
            <v>5328</v>
          </cell>
          <cell r="P101">
            <v>7.165930251419303E-2</v>
          </cell>
          <cell r="Q101">
            <v>0.25064001081373344</v>
          </cell>
          <cell r="R101">
            <v>0.67498030819140309</v>
          </cell>
          <cell r="S101">
            <v>2.7203784806704517E-3</v>
          </cell>
        </row>
        <row r="102">
          <cell r="K102">
            <v>7045</v>
          </cell>
          <cell r="P102">
            <v>5.8990912585232459E-2</v>
          </cell>
          <cell r="Q102">
            <v>0.24308114693767627</v>
          </cell>
          <cell r="R102">
            <v>0.69470308829783978</v>
          </cell>
          <cell r="S102">
            <v>3.2248521792514716E-3</v>
          </cell>
        </row>
        <row r="103">
          <cell r="K103">
            <v>9370</v>
          </cell>
          <cell r="P103">
            <v>8.5369216202125051E-2</v>
          </cell>
          <cell r="Q103">
            <v>0.15720361125926635</v>
          </cell>
          <cell r="R103">
            <v>0.75583284891560343</v>
          </cell>
          <cell r="S103">
            <v>1.5943236230051478E-3</v>
          </cell>
        </row>
        <row r="104">
          <cell r="K104">
            <v>11775</v>
          </cell>
          <cell r="P104">
            <v>7.3848552188552186E-2</v>
          </cell>
          <cell r="Q104">
            <v>0.13604070707070706</v>
          </cell>
          <cell r="R104">
            <v>0.74198851851851855</v>
          </cell>
          <cell r="S104">
            <v>4.8122222222222226E-2</v>
          </cell>
        </row>
        <row r="105">
          <cell r="K105">
            <v>7238</v>
          </cell>
          <cell r="P105">
            <v>8.7162256204802946E-2</v>
          </cell>
          <cell r="Q105">
            <v>0.15108692684362679</v>
          </cell>
          <cell r="R105">
            <v>0.7595713360046723</v>
          </cell>
          <cell r="S105">
            <v>2.1794809468979816E-3</v>
          </cell>
        </row>
        <row r="106">
          <cell r="K106">
            <v>10631</v>
          </cell>
          <cell r="P106">
            <v>8.5689338892197736E-2</v>
          </cell>
          <cell r="Q106">
            <v>3.1145634306134602E-2</v>
          </cell>
          <cell r="R106">
            <v>0.86975580702799282</v>
          </cell>
          <cell r="S106">
            <v>1.3409219773674807E-2</v>
          </cell>
        </row>
        <row r="107">
          <cell r="K107">
            <v>9532</v>
          </cell>
          <cell r="P107">
            <v>8.1324212962962966E-2</v>
          </cell>
          <cell r="Q107">
            <v>0.22044250000000001</v>
          </cell>
          <cell r="R107">
            <v>0.6958937268518518</v>
          </cell>
          <cell r="S107">
            <v>2.339560185185185E-3</v>
          </cell>
        </row>
        <row r="108">
          <cell r="K108">
            <v>8491</v>
          </cell>
          <cell r="P108">
            <v>0.11348703703703704</v>
          </cell>
          <cell r="Q108">
            <v>0.10587037037037036</v>
          </cell>
          <cell r="R108">
            <v>0.7785144444444444</v>
          </cell>
          <cell r="S108">
            <v>2.1281481481481481E-3</v>
          </cell>
        </row>
        <row r="109">
          <cell r="K109">
            <v>9623</v>
          </cell>
          <cell r="P109">
            <v>9.1886681546290511E-2</v>
          </cell>
          <cell r="Q109">
            <v>0.2072382394429069</v>
          </cell>
          <cell r="R109">
            <v>0.69781083831800728</v>
          </cell>
          <cell r="S109">
            <v>3.0642406927952862E-3</v>
          </cell>
        </row>
        <row r="110">
          <cell r="K110">
            <v>26509</v>
          </cell>
          <cell r="P110">
            <v>8.6723968943965918E-2</v>
          </cell>
          <cell r="Q110">
            <v>0.16357265313669819</v>
          </cell>
          <cell r="R110">
            <v>0.74697106298665961</v>
          </cell>
          <cell r="S110">
            <v>2.7323149326763173E-3</v>
          </cell>
        </row>
        <row r="111">
          <cell r="K111">
            <v>5507</v>
          </cell>
          <cell r="P111">
            <v>8.4224108911452572E-2</v>
          </cell>
          <cell r="Q111">
            <v>0.22720709456073951</v>
          </cell>
          <cell r="R111">
            <v>0.68114236455423849</v>
          </cell>
          <cell r="S111">
            <v>7.4264319735694428E-3</v>
          </cell>
        </row>
        <row r="112">
          <cell r="K112">
            <v>4188</v>
          </cell>
          <cell r="P112">
            <v>8.3260549010821361E-2</v>
          </cell>
          <cell r="Q112">
            <v>1.0036897922068948E-2</v>
          </cell>
          <cell r="R112">
            <v>0.59205433882625191</v>
          </cell>
          <cell r="S112">
            <v>0.31464821424085782</v>
          </cell>
        </row>
        <row r="113">
          <cell r="K113">
            <v>7518</v>
          </cell>
          <cell r="P113">
            <v>8.8968386306033737E-2</v>
          </cell>
          <cell r="Q113">
            <v>0.19154168941946276</v>
          </cell>
          <cell r="R113">
            <v>0.69751996649277959</v>
          </cell>
          <cell r="S113">
            <v>2.1969957781723913E-2</v>
          </cell>
        </row>
        <row r="114">
          <cell r="K114">
            <v>4899</v>
          </cell>
          <cell r="P114">
            <v>4.729032150591371E-2</v>
          </cell>
          <cell r="Q114">
            <v>0.26923170081625852</v>
          </cell>
          <cell r="R114">
            <v>0.67865817091454272</v>
          </cell>
          <cell r="S114">
            <v>4.819806763285024E-3</v>
          </cell>
        </row>
        <row r="115">
          <cell r="K115">
            <v>6714</v>
          </cell>
          <cell r="P115">
            <v>8.8064743865690923E-2</v>
          </cell>
          <cell r="Q115">
            <v>0.31941304347826088</v>
          </cell>
          <cell r="R115">
            <v>0.59044782608695656</v>
          </cell>
          <cell r="S115">
            <v>2.0743865690916919E-3</v>
          </cell>
        </row>
        <row r="116">
          <cell r="K116">
            <v>7204</v>
          </cell>
          <cell r="P116">
            <v>9.9862754475281285E-2</v>
          </cell>
          <cell r="Q116">
            <v>0.22867743902066362</v>
          </cell>
          <cell r="R116">
            <v>0.66993242004388187</v>
          </cell>
          <cell r="S116">
            <v>1.5273864601732052E-3</v>
          </cell>
        </row>
        <row r="117">
          <cell r="K117">
            <v>283</v>
          </cell>
          <cell r="P117">
            <v>7.6261224902982705E-2</v>
          </cell>
          <cell r="Q117">
            <v>4.045622765721326E-2</v>
          </cell>
          <cell r="R117">
            <v>0.87974539386573891</v>
          </cell>
          <cell r="S117">
            <v>3.5371535740651096E-3</v>
          </cell>
        </row>
        <row r="118">
          <cell r="K118">
            <v>29315</v>
          </cell>
          <cell r="P118">
            <v>8.895317698454254E-2</v>
          </cell>
          <cell r="Q118">
            <v>0.19214644371989326</v>
          </cell>
          <cell r="R118">
            <v>0.71547075833611484</v>
          </cell>
          <cell r="S118">
            <v>3.429620959449329E-3</v>
          </cell>
        </row>
        <row r="119">
          <cell r="K119">
            <v>16</v>
          </cell>
          <cell r="P119">
            <v>9.1005291005291002E-3</v>
          </cell>
          <cell r="Q119">
            <v>5.9894179894179896E-2</v>
          </cell>
          <cell r="R119">
            <v>0.8720634920634921</v>
          </cell>
          <cell r="S119">
            <v>5.8941798941798941E-2</v>
          </cell>
        </row>
        <row r="120">
          <cell r="K120">
            <v>11539</v>
          </cell>
          <cell r="P120">
            <v>0.10461865942028986</v>
          </cell>
          <cell r="Q120">
            <v>0.27791492753623187</v>
          </cell>
          <cell r="R120">
            <v>0.6155805797101449</v>
          </cell>
          <cell r="S120">
            <v>1.8858333333333333E-3</v>
          </cell>
        </row>
        <row r="121">
          <cell r="K121">
            <v>2830</v>
          </cell>
          <cell r="P121">
            <v>6.1869565217391306E-3</v>
          </cell>
          <cell r="Q121">
            <v>2.0525478260869565E-2</v>
          </cell>
          <cell r="R121">
            <v>0.97320278260869564</v>
          </cell>
          <cell r="S121">
            <v>8.478260869565218E-5</v>
          </cell>
        </row>
        <row r="122">
          <cell r="K122">
            <v>9089</v>
          </cell>
          <cell r="P122">
            <v>8.3772279673878514E-2</v>
          </cell>
          <cell r="Q122">
            <v>0.28175932504576778</v>
          </cell>
          <cell r="R122">
            <v>0.63107539372585975</v>
          </cell>
          <cell r="S122">
            <v>3.3930015544939916E-3</v>
          </cell>
        </row>
        <row r="123">
          <cell r="K123">
            <v>15461</v>
          </cell>
          <cell r="P123">
            <v>7.6903420479302834E-2</v>
          </cell>
          <cell r="Q123">
            <v>0.18763581699346404</v>
          </cell>
          <cell r="R123">
            <v>0.7331963616557734</v>
          </cell>
          <cell r="S123">
            <v>2.264400871459695E-3</v>
          </cell>
        </row>
        <row r="124">
          <cell r="K124">
            <v>11158</v>
          </cell>
          <cell r="P124">
            <v>9.2084634965889423E-2</v>
          </cell>
          <cell r="Q124">
            <v>0.20221606761022298</v>
          </cell>
          <cell r="R124">
            <v>0.70243787801649527</v>
          </cell>
          <cell r="S124">
            <v>3.2614194073923228E-3</v>
          </cell>
        </row>
        <row r="125">
          <cell r="K125">
            <v>12229</v>
          </cell>
          <cell r="P125">
            <v>0.11163641357866029</v>
          </cell>
          <cell r="Q125">
            <v>0.43603055349678765</v>
          </cell>
          <cell r="R125">
            <v>0.44979501336939859</v>
          </cell>
          <cell r="S125">
            <v>2.5380195551534352E-3</v>
          </cell>
        </row>
        <row r="126">
          <cell r="K126">
            <v>7067</v>
          </cell>
          <cell r="P126">
            <v>8.5420032206119156E-2</v>
          </cell>
          <cell r="Q126">
            <v>0.16731320450885667</v>
          </cell>
          <cell r="R126">
            <v>0.74539797101449279</v>
          </cell>
          <cell r="S126">
            <v>1.8687922705314009E-3</v>
          </cell>
        </row>
        <row r="127">
          <cell r="K127">
            <v>5909</v>
          </cell>
          <cell r="P127">
            <v>0.11208310810810811</v>
          </cell>
          <cell r="Q127">
            <v>0.23769067567567567</v>
          </cell>
          <cell r="R127">
            <v>0.64804310810810806</v>
          </cell>
          <cell r="S127">
            <v>2.183108108108108E-3</v>
          </cell>
        </row>
        <row r="128">
          <cell r="K128">
            <v>7307</v>
          </cell>
          <cell r="P128">
            <v>6.2804840579710142E-2</v>
          </cell>
          <cell r="Q128">
            <v>0.18064202898550724</v>
          </cell>
          <cell r="R128">
            <v>0.36570678260869566</v>
          </cell>
          <cell r="S128">
            <v>0.39084634782608696</v>
          </cell>
        </row>
        <row r="129">
          <cell r="K129">
            <v>11036</v>
          </cell>
          <cell r="P129">
            <v>9.3246636521739132E-2</v>
          </cell>
          <cell r="Q129">
            <v>0.23296834782608697</v>
          </cell>
          <cell r="R129">
            <v>0.67160027826086954</v>
          </cell>
          <cell r="S129">
            <v>2.1847373913043478E-3</v>
          </cell>
        </row>
        <row r="130">
          <cell r="K130">
            <v>24137</v>
          </cell>
          <cell r="P130">
            <v>9.7230319430042358E-2</v>
          </cell>
          <cell r="Q130">
            <v>0.25952620446865432</v>
          </cell>
          <cell r="R130">
            <v>0.63936613045796464</v>
          </cell>
          <cell r="S130">
            <v>3.8773456433386258E-3</v>
          </cell>
        </row>
        <row r="131">
          <cell r="K131">
            <v>4966</v>
          </cell>
          <cell r="P131">
            <v>9.6405663322185059E-2</v>
          </cell>
          <cell r="Q131">
            <v>0.23837311036789297</v>
          </cell>
          <cell r="R131">
            <v>0.66340026755852843</v>
          </cell>
          <cell r="S131">
            <v>1.8209587513935341E-3</v>
          </cell>
        </row>
        <row r="132">
          <cell r="K132">
            <v>10782</v>
          </cell>
          <cell r="P132">
            <v>8.915547461871158E-2</v>
          </cell>
          <cell r="Q132">
            <v>0.2640286995044564</v>
          </cell>
          <cell r="R132">
            <v>0.64297273634628516</v>
          </cell>
          <cell r="S132">
            <v>3.8430895305468491E-3</v>
          </cell>
        </row>
        <row r="133">
          <cell r="K133">
            <v>13220</v>
          </cell>
          <cell r="P133">
            <v>6.0390630603906308E-2</v>
          </cell>
          <cell r="Q133">
            <v>6.9262740692627403E-2</v>
          </cell>
          <cell r="R133">
            <v>0.84492629344926296</v>
          </cell>
          <cell r="S133">
            <v>2.5420335254203352E-2</v>
          </cell>
        </row>
        <row r="134">
          <cell r="K134">
            <v>1560</v>
          </cell>
          <cell r="P134">
            <v>8.5760310893819736E-3</v>
          </cell>
          <cell r="Q134">
            <v>6.497336091262379E-2</v>
          </cell>
          <cell r="R134">
            <v>0.9262526728630528</v>
          </cell>
          <cell r="S134">
            <v>1.9793513494152832E-4</v>
          </cell>
        </row>
        <row r="135">
          <cell r="K135">
            <v>6756</v>
          </cell>
          <cell r="P135">
            <v>8.6447897709144489E-2</v>
          </cell>
          <cell r="Q135">
            <v>0.21924022389117181</v>
          </cell>
          <cell r="R135">
            <v>0.68953015553518604</v>
          </cell>
          <cell r="S135">
            <v>4.7817228644976093E-3</v>
          </cell>
        </row>
        <row r="136">
          <cell r="K136">
            <v>19047</v>
          </cell>
          <cell r="P136">
            <v>8.90986E-2</v>
          </cell>
          <cell r="Q136">
            <v>2.9223200000000001E-2</v>
          </cell>
          <cell r="R136">
            <v>0.87409999999999999</v>
          </cell>
          <cell r="S136">
            <v>7.5782000000000002E-3</v>
          </cell>
        </row>
        <row r="137">
          <cell r="K137">
            <v>5158</v>
          </cell>
          <cell r="P137">
            <v>4.918085223283996E-2</v>
          </cell>
          <cell r="Q137">
            <v>8.6446248830263847E-2</v>
          </cell>
          <cell r="R137">
            <v>0.84910050177043983</v>
          </cell>
          <cell r="S137">
            <v>1.5272397166456342E-2</v>
          </cell>
        </row>
        <row r="138">
          <cell r="K138">
            <v>2427</v>
          </cell>
          <cell r="P138">
            <v>5.2722532644321272E-2</v>
          </cell>
          <cell r="Q138">
            <v>3.5100614260749563E-2</v>
          </cell>
          <cell r="R138">
            <v>0.90793702889800576</v>
          </cell>
          <cell r="S138">
            <v>4.239824196923446E-3</v>
          </cell>
        </row>
        <row r="139">
          <cell r="K139">
            <v>10040</v>
          </cell>
          <cell r="P139">
            <v>9.7599935107073335E-2</v>
          </cell>
          <cell r="Q139">
            <v>0.21687780661907852</v>
          </cell>
          <cell r="R139">
            <v>0.68289958468526935</v>
          </cell>
          <cell r="S139">
            <v>2.6226735885788448E-3</v>
          </cell>
        </row>
        <row r="140">
          <cell r="K140">
            <v>3681</v>
          </cell>
          <cell r="P140">
            <v>6.445892173913044E-2</v>
          </cell>
          <cell r="Q140">
            <v>0.13756173913043479</v>
          </cell>
          <cell r="R140">
            <v>0.79674782608695649</v>
          </cell>
          <cell r="S140">
            <v>1.231513043478261E-3</v>
          </cell>
        </row>
        <row r="141">
          <cell r="K141">
            <v>2294</v>
          </cell>
          <cell r="P141">
            <v>3.0928407407407408E-2</v>
          </cell>
          <cell r="Q141">
            <v>7.591188888888889E-2</v>
          </cell>
          <cell r="R141">
            <v>0.6919494074074074</v>
          </cell>
          <cell r="S141">
            <v>0.2012102962962963</v>
          </cell>
        </row>
        <row r="142">
          <cell r="K142">
            <v>13012</v>
          </cell>
          <cell r="P142">
            <v>8.9357351778656127E-2</v>
          </cell>
          <cell r="Q142">
            <v>0.26814037549407116</v>
          </cell>
          <cell r="R142">
            <v>0.63801079051383403</v>
          </cell>
          <cell r="S142">
            <v>4.4914822134387352E-3</v>
          </cell>
        </row>
        <row r="143">
          <cell r="K143">
            <v>931</v>
          </cell>
          <cell r="P143">
            <v>6.0863130434782607E-2</v>
          </cell>
          <cell r="Q143">
            <v>0.24528152173913043</v>
          </cell>
          <cell r="R143">
            <v>0.60593360869565216</v>
          </cell>
          <cell r="S143">
            <v>8.7921739130434787E-2</v>
          </cell>
        </row>
        <row r="144">
          <cell r="K144">
            <v>799</v>
          </cell>
          <cell r="P144">
            <v>9.2767354635136332E-3</v>
          </cell>
          <cell r="Q144">
            <v>2.572742621386653E-2</v>
          </cell>
          <cell r="R144">
            <v>0.87839274994554739</v>
          </cell>
          <cell r="S144">
            <v>8.6603088377072535E-2</v>
          </cell>
        </row>
        <row r="145">
          <cell r="K145">
            <v>63929</v>
          </cell>
          <cell r="P145">
            <v>8.9246342311162061E-2</v>
          </cell>
          <cell r="Q145">
            <v>0.12731819126598104</v>
          </cell>
          <cell r="R145">
            <v>0.78023958214455102</v>
          </cell>
          <cell r="S145">
            <v>3.1958842783058926E-3</v>
          </cell>
        </row>
        <row r="146">
          <cell r="K146">
            <v>13</v>
          </cell>
          <cell r="P146">
            <v>5.2996331023236849E-3</v>
          </cell>
          <cell r="Q146">
            <v>1.4841690447071614E-2</v>
          </cell>
          <cell r="R146">
            <v>0.97985867645060465</v>
          </cell>
          <cell r="S146">
            <v>0</v>
          </cell>
        </row>
        <row r="147">
          <cell r="K147">
            <v>4340</v>
          </cell>
          <cell r="P147">
            <v>3.8417471264367814E-2</v>
          </cell>
          <cell r="Q147">
            <v>0.15639552223888056</v>
          </cell>
          <cell r="R147">
            <v>0.80452467766116942</v>
          </cell>
          <cell r="S147">
            <v>6.623288355822089E-4</v>
          </cell>
        </row>
        <row r="148">
          <cell r="K148">
            <v>709</v>
          </cell>
          <cell r="P148">
            <v>6.4511614699428538E-2</v>
          </cell>
          <cell r="Q148">
            <v>0.34599387067754239</v>
          </cell>
          <cell r="R148">
            <v>0.55525000428967808</v>
          </cell>
          <cell r="S148">
            <v>3.4244510333350985E-2</v>
          </cell>
        </row>
        <row r="149">
          <cell r="K149">
            <v>556</v>
          </cell>
          <cell r="P149">
            <v>8.3484727528347086E-3</v>
          </cell>
          <cell r="Q149">
            <v>0.26550742883418876</v>
          </cell>
          <cell r="R149">
            <v>0.72549238395064075</v>
          </cell>
          <cell r="S149">
            <v>6.5171446233571633E-4</v>
          </cell>
        </row>
        <row r="150">
          <cell r="K150">
            <v>21044</v>
          </cell>
          <cell r="P150">
            <v>0.10352751008977844</v>
          </cell>
          <cell r="Q150">
            <v>0.22404301540235566</v>
          </cell>
          <cell r="R150">
            <v>0.6705939584877687</v>
          </cell>
          <cell r="S150">
            <v>1.8355160200971914E-3</v>
          </cell>
        </row>
        <row r="151">
          <cell r="K151">
            <v>253707</v>
          </cell>
          <cell r="P151">
            <v>9.9923018828299875E-2</v>
          </cell>
          <cell r="Q151">
            <v>0.1218459607409394</v>
          </cell>
          <cell r="R151">
            <v>0.77356249186497905</v>
          </cell>
          <cell r="S151">
            <v>4.6685285657817044E-3</v>
          </cell>
        </row>
        <row r="152">
          <cell r="K152">
            <v>148</v>
          </cell>
          <cell r="P152">
            <v>2.1324128581503527E-2</v>
          </cell>
          <cell r="Q152">
            <v>8.8957495167413941E-2</v>
          </cell>
          <cell r="R152">
            <v>0.71427266382375398</v>
          </cell>
          <cell r="S152">
            <v>0.17544571242732848</v>
          </cell>
        </row>
        <row r="153">
          <cell r="K153">
            <v>13888</v>
          </cell>
          <cell r="P153">
            <v>9.8723608695652179E-2</v>
          </cell>
          <cell r="Q153">
            <v>0.5772429130434783</v>
          </cell>
          <cell r="R153">
            <v>0.26474652173913044</v>
          </cell>
          <cell r="S153">
            <v>5.9286956521739133E-2</v>
          </cell>
        </row>
        <row r="154">
          <cell r="K154">
            <v>115013</v>
          </cell>
          <cell r="P154">
            <v>0.36502331250163439</v>
          </cell>
          <cell r="Q154">
            <v>0.17009455224428272</v>
          </cell>
          <cell r="R154">
            <v>0.43541776840852087</v>
          </cell>
          <cell r="S154">
            <v>2.9464366845562071E-2</v>
          </cell>
        </row>
        <row r="155">
          <cell r="K155">
            <v>3791</v>
          </cell>
          <cell r="P155">
            <v>8.6450086956521732E-2</v>
          </cell>
          <cell r="Q155">
            <v>6.7374716908212562E-2</v>
          </cell>
          <cell r="R155">
            <v>0.83723370048309176</v>
          </cell>
          <cell r="S155">
            <v>8.9414956521739128E-3</v>
          </cell>
        </row>
        <row r="156">
          <cell r="K156">
            <v>1</v>
          </cell>
          <cell r="P156">
            <v>0.36713202260760347</v>
          </cell>
          <cell r="Q156">
            <v>0.25607458576880343</v>
          </cell>
          <cell r="R156">
            <v>0.10627505917588523</v>
          </cell>
          <cell r="S156">
            <v>0.27051833244770784</v>
          </cell>
        </row>
        <row r="157">
          <cell r="K157">
            <v>48</v>
          </cell>
          <cell r="P157">
            <v>4.974906574392237E-2</v>
          </cell>
          <cell r="Q157">
            <v>6.8729101214038163E-2</v>
          </cell>
          <cell r="R157">
            <v>0.87732256776866002</v>
          </cell>
          <cell r="S157">
            <v>4.1992652733794092E-3</v>
          </cell>
        </row>
        <row r="158">
          <cell r="K158">
            <v>7218</v>
          </cell>
          <cell r="P158">
            <v>8.1552876524771403E-2</v>
          </cell>
          <cell r="Q158">
            <v>0.12009384849140883</v>
          </cell>
          <cell r="R158">
            <v>0.79656163673020397</v>
          </cell>
          <cell r="S158">
            <v>1.7916382536157737E-3</v>
          </cell>
        </row>
        <row r="159">
          <cell r="K159">
            <v>12933</v>
          </cell>
          <cell r="P159">
            <v>9.8651726334894788E-2</v>
          </cell>
          <cell r="Q159">
            <v>1.5599772666556249E-2</v>
          </cell>
          <cell r="R159">
            <v>0.85081234252812543</v>
          </cell>
          <cell r="S159">
            <v>3.4936158470423563E-2</v>
          </cell>
        </row>
        <row r="160">
          <cell r="K160">
            <v>1064</v>
          </cell>
          <cell r="P160">
            <v>3.9412327365728902E-2</v>
          </cell>
          <cell r="Q160">
            <v>7.6726342710997447E-4</v>
          </cell>
          <cell r="R160">
            <v>0.9575172890025575</v>
          </cell>
          <cell r="S160">
            <v>2.3031202046035807E-3</v>
          </cell>
        </row>
        <row r="161">
          <cell r="K161">
            <v>747</v>
          </cell>
          <cell r="P161">
            <v>2.434790768747842E-2</v>
          </cell>
          <cell r="Q161">
            <v>0.20458305348472169</v>
          </cell>
          <cell r="R161">
            <v>0.77085621985031194</v>
          </cell>
          <cell r="S161">
            <v>2.1281897748789565E-4</v>
          </cell>
        </row>
        <row r="162">
          <cell r="K162">
            <v>9770</v>
          </cell>
          <cell r="P162">
            <v>8.6270816863166525E-2</v>
          </cell>
          <cell r="Q162">
            <v>0.11988496844630683</v>
          </cell>
          <cell r="R162">
            <v>0.289346850776588</v>
          </cell>
          <cell r="S162">
            <v>0.50449736391393873</v>
          </cell>
        </row>
        <row r="163">
          <cell r="K163">
            <v>3238</v>
          </cell>
          <cell r="P163">
            <v>0.21396582675346351</v>
          </cell>
          <cell r="Q163">
            <v>0.35649979155163924</v>
          </cell>
          <cell r="R163">
            <v>0.16128203263620991</v>
          </cell>
          <cell r="S163">
            <v>0.26825234905868739</v>
          </cell>
        </row>
        <row r="164">
          <cell r="K164">
            <v>270</v>
          </cell>
          <cell r="P164">
            <v>1.1775909156245509E-2</v>
          </cell>
          <cell r="Q164">
            <v>5.7334541396346413E-3</v>
          </cell>
          <cell r="R164">
            <v>0.86861830215464819</v>
          </cell>
          <cell r="S164">
            <v>0.11387233454947164</v>
          </cell>
        </row>
        <row r="165">
          <cell r="K165">
            <v>1308</v>
          </cell>
          <cell r="P165">
            <v>8.0661270554960987E-2</v>
          </cell>
          <cell r="Q165">
            <v>8.4198182321575027E-2</v>
          </cell>
          <cell r="R165">
            <v>0.63463190857582719</v>
          </cell>
          <cell r="S165">
            <v>0.20050863854763676</v>
          </cell>
        </row>
        <row r="166">
          <cell r="K166">
            <v>2860</v>
          </cell>
          <cell r="P166">
            <v>8.4590918777722068E-2</v>
          </cell>
          <cell r="Q166">
            <v>0.11771352832130565</v>
          </cell>
          <cell r="R166">
            <v>0.78270396891649674</v>
          </cell>
          <cell r="S166">
            <v>1.499158398447553E-2</v>
          </cell>
        </row>
        <row r="167">
          <cell r="K167">
            <v>29608</v>
          </cell>
          <cell r="P167">
            <v>4.5506017462490819E-2</v>
          </cell>
          <cell r="Q167">
            <v>0.14192265358138625</v>
          </cell>
          <cell r="R167">
            <v>0.39360010380860933</v>
          </cell>
          <cell r="S167">
            <v>0.41897122514751362</v>
          </cell>
        </row>
        <row r="168">
          <cell r="K168">
            <v>2604</v>
          </cell>
          <cell r="P168">
            <v>4.2549046049113477E-2</v>
          </cell>
          <cell r="Q168">
            <v>8.1236895533836284E-2</v>
          </cell>
          <cell r="R168">
            <v>0.87399881269578505</v>
          </cell>
          <cell r="S168">
            <v>2.2152457212651676E-3</v>
          </cell>
        </row>
        <row r="169">
          <cell r="K169">
            <v>1310</v>
          </cell>
          <cell r="P169">
            <v>6.569669211195929E-2</v>
          </cell>
          <cell r="Q169">
            <v>0.2333591518235793</v>
          </cell>
          <cell r="R169">
            <v>0.70026388464800682</v>
          </cell>
          <cell r="S169">
            <v>6.8027141645462261E-4</v>
          </cell>
        </row>
        <row r="170">
          <cell r="K170">
            <v>49037</v>
          </cell>
          <cell r="P170">
            <v>8.0373646937916127E-2</v>
          </cell>
          <cell r="Q170">
            <v>0.14649857193263688</v>
          </cell>
          <cell r="R170">
            <v>0.56537766241500154</v>
          </cell>
          <cell r="S170">
            <v>0.20775011871444543</v>
          </cell>
        </row>
        <row r="171">
          <cell r="K171">
            <v>2716</v>
          </cell>
          <cell r="P171">
            <v>8.4659440777938286E-2</v>
          </cell>
          <cell r="Q171">
            <v>0.12190266339144154</v>
          </cell>
          <cell r="R171">
            <v>0.78959991298512056</v>
          </cell>
          <cell r="S171">
            <v>3.8379828454996154E-3</v>
          </cell>
        </row>
        <row r="172">
          <cell r="K172">
            <v>4294</v>
          </cell>
          <cell r="P172">
            <v>0.18109801283661295</v>
          </cell>
          <cell r="Q172">
            <v>0.34028286180374057</v>
          </cell>
          <cell r="R172">
            <v>0.47355159139683339</v>
          </cell>
          <cell r="S172">
            <v>5.067533962813113E-3</v>
          </cell>
        </row>
        <row r="173">
          <cell r="K173">
            <v>3899</v>
          </cell>
          <cell r="P173">
            <v>9.0727797101449278E-2</v>
          </cell>
          <cell r="Q173">
            <v>0.10778799999999999</v>
          </cell>
          <cell r="R173">
            <v>0.79804681159420288</v>
          </cell>
          <cell r="S173">
            <v>3.4373913043478262E-3</v>
          </cell>
        </row>
        <row r="174">
          <cell r="K174">
            <v>13211</v>
          </cell>
          <cell r="P174">
            <v>5.7905534971644614E-2</v>
          </cell>
          <cell r="Q174">
            <v>0.21595600756143668</v>
          </cell>
          <cell r="R174">
            <v>0.31776966351606806</v>
          </cell>
          <cell r="S174">
            <v>0.40836879395085068</v>
          </cell>
        </row>
        <row r="175">
          <cell r="K175">
            <v>6237</v>
          </cell>
          <cell r="P175">
            <v>9.3128859849964815E-2</v>
          </cell>
          <cell r="Q175">
            <v>0.26150164664453884</v>
          </cell>
          <cell r="R175">
            <v>0.58644247785304604</v>
          </cell>
          <cell r="S175">
            <v>5.8927015652450294E-2</v>
          </cell>
        </row>
        <row r="176">
          <cell r="K176">
            <v>5774</v>
          </cell>
          <cell r="P176">
            <v>8.8666426092174289E-2</v>
          </cell>
          <cell r="Q176">
            <v>5.7413247893671644E-2</v>
          </cell>
          <cell r="R176">
            <v>0.85200069411855295</v>
          </cell>
          <cell r="S176">
            <v>1.9196318956010826E-3</v>
          </cell>
        </row>
        <row r="177">
          <cell r="K177">
            <v>5318</v>
          </cell>
          <cell r="P177">
            <v>8.1040769230769236E-2</v>
          </cell>
          <cell r="Q177">
            <v>0.14349234113712375</v>
          </cell>
          <cell r="R177">
            <v>0.73854304347826083</v>
          </cell>
          <cell r="S177">
            <v>3.6923846153846154E-2</v>
          </cell>
        </row>
        <row r="178">
          <cell r="K178">
            <v>4342</v>
          </cell>
          <cell r="P178">
            <v>7.7342949494949492E-2</v>
          </cell>
          <cell r="Q178">
            <v>0.19340188552188553</v>
          </cell>
          <cell r="R178">
            <v>0.72537593265993261</v>
          </cell>
          <cell r="S178">
            <v>3.8792323232323231E-3</v>
          </cell>
        </row>
        <row r="179">
          <cell r="K179">
            <v>2521</v>
          </cell>
          <cell r="P179">
            <v>7.6583769841269841E-2</v>
          </cell>
          <cell r="Q179">
            <v>0.18932887566137566</v>
          </cell>
          <cell r="R179">
            <v>0.73094513227513225</v>
          </cell>
          <cell r="S179">
            <v>3.142222222222222E-3</v>
          </cell>
        </row>
        <row r="180">
          <cell r="K180">
            <v>74132</v>
          </cell>
          <cell r="P180">
            <v>8.2591282070867938E-2</v>
          </cell>
          <cell r="Q180">
            <v>0.10176439014619766</v>
          </cell>
          <cell r="R180">
            <v>0.80160575274900281</v>
          </cell>
          <cell r="S180">
            <v>1.4038575033931572E-2</v>
          </cell>
        </row>
        <row r="181">
          <cell r="K181">
            <v>3588</v>
          </cell>
          <cell r="P181">
            <v>4.6804614889853671E-2</v>
          </cell>
          <cell r="Q181">
            <v>0.4490476443158064</v>
          </cell>
          <cell r="R181">
            <v>0.48562198102588838</v>
          </cell>
          <cell r="S181">
            <v>1.852575976845152E-2</v>
          </cell>
        </row>
        <row r="182">
          <cell r="K182">
            <v>5833</v>
          </cell>
          <cell r="P182">
            <v>9.4576460358056252E-2</v>
          </cell>
          <cell r="Q182">
            <v>0.42314158567774934</v>
          </cell>
          <cell r="R182">
            <v>0.43230368286445015</v>
          </cell>
          <cell r="S182">
            <v>4.9978271099744245E-2</v>
          </cell>
        </row>
        <row r="183">
          <cell r="K183">
            <v>4930</v>
          </cell>
          <cell r="P183">
            <v>8.9528998563781173E-2</v>
          </cell>
          <cell r="Q183">
            <v>0.21670056143099622</v>
          </cell>
          <cell r="R183">
            <v>0.68990964877921401</v>
          </cell>
          <cell r="S183">
            <v>3.8607912260086173E-3</v>
          </cell>
        </row>
        <row r="184">
          <cell r="K184">
            <v>3563</v>
          </cell>
          <cell r="P184">
            <v>8.8686061381074169E-2</v>
          </cell>
          <cell r="Q184">
            <v>0.32909897698209717</v>
          </cell>
          <cell r="R184">
            <v>0.57758900255754475</v>
          </cell>
          <cell r="S184">
            <v>4.6259590792838874E-3</v>
          </cell>
        </row>
        <row r="185">
          <cell r="K185">
            <v>5058</v>
          </cell>
          <cell r="P185">
            <v>9.8154683964816275E-2</v>
          </cell>
          <cell r="Q185">
            <v>5.2802500182675204E-2</v>
          </cell>
          <cell r="R185">
            <v>0.84489174491856878</v>
          </cell>
          <cell r="S185">
            <v>4.1510709339397786E-3</v>
          </cell>
        </row>
        <row r="186">
          <cell r="K186">
            <v>5170</v>
          </cell>
          <cell r="P186">
            <v>7.9324986046511628E-2</v>
          </cell>
          <cell r="Q186">
            <v>2.4330139534883721E-2</v>
          </cell>
          <cell r="R186">
            <v>0.72471419534883719</v>
          </cell>
          <cell r="S186">
            <v>0.17163067906976745</v>
          </cell>
        </row>
        <row r="187">
          <cell r="K187">
            <v>5</v>
          </cell>
          <cell r="P187">
            <v>1.4612790991902835E-2</v>
          </cell>
          <cell r="Q187">
            <v>0.26609741902834005</v>
          </cell>
          <cell r="R187">
            <v>0.4783132464574899</v>
          </cell>
          <cell r="S187">
            <v>0.24097654352226722</v>
          </cell>
        </row>
        <row r="188">
          <cell r="K188">
            <v>588</v>
          </cell>
          <cell r="P188">
            <v>7.4642009396503686E-2</v>
          </cell>
          <cell r="Q188">
            <v>7.1940903547229582E-2</v>
          </cell>
          <cell r="R188">
            <v>0.64310699139820071</v>
          </cell>
          <cell r="S188">
            <v>0.21031009565806605</v>
          </cell>
        </row>
        <row r="189">
          <cell r="K189">
            <v>1109</v>
          </cell>
          <cell r="P189">
            <v>9.2037225806451614E-2</v>
          </cell>
          <cell r="Q189">
            <v>0.32481458064516128</v>
          </cell>
          <cell r="R189">
            <v>0.58067290322580645</v>
          </cell>
          <cell r="S189">
            <v>2.4752903225806451E-3</v>
          </cell>
        </row>
        <row r="190">
          <cell r="K190">
            <v>1487</v>
          </cell>
          <cell r="P190">
            <v>8.5570854572713642E-2</v>
          </cell>
          <cell r="Q190">
            <v>0.12138284857571215</v>
          </cell>
          <cell r="R190">
            <v>0.79038140929535228</v>
          </cell>
          <cell r="S190">
            <v>2.6648875562218892E-3</v>
          </cell>
        </row>
        <row r="191">
          <cell r="K191">
            <v>4631</v>
          </cell>
          <cell r="P191">
            <v>8.7598442938067109E-2</v>
          </cell>
          <cell r="Q191">
            <v>0.15645067971039034</v>
          </cell>
          <cell r="R191">
            <v>0.75337131123797496</v>
          </cell>
          <cell r="S191">
            <v>2.5795661135676272E-3</v>
          </cell>
        </row>
        <row r="192">
          <cell r="K192">
            <v>1626</v>
          </cell>
          <cell r="P192">
            <v>6.665237762237762E-2</v>
          </cell>
          <cell r="Q192">
            <v>0.20004700699300698</v>
          </cell>
          <cell r="R192">
            <v>0.73164967832167838</v>
          </cell>
          <cell r="S192">
            <v>1.650937062937063E-3</v>
          </cell>
        </row>
        <row r="193">
          <cell r="K193">
            <v>1423</v>
          </cell>
          <cell r="P193">
            <v>6.8151439999999994E-2</v>
          </cell>
          <cell r="Q193">
            <v>0.24533228571428572</v>
          </cell>
          <cell r="R193">
            <v>0.68484573714285712</v>
          </cell>
          <cell r="S193">
            <v>1.6705371428571429E-3</v>
          </cell>
        </row>
        <row r="194">
          <cell r="K194">
            <v>1167</v>
          </cell>
          <cell r="P194">
            <v>4.1318204926745851E-2</v>
          </cell>
          <cell r="Q194">
            <v>2.7142626057216806E-3</v>
          </cell>
          <cell r="R194">
            <v>0.82120152978693906</v>
          </cell>
          <cell r="S194">
            <v>0.13476600268059344</v>
          </cell>
        </row>
        <row r="195">
          <cell r="K195">
            <v>2802</v>
          </cell>
          <cell r="P195">
            <v>9.7183052256156463E-2</v>
          </cell>
          <cell r="Q195">
            <v>0.43246845767615411</v>
          </cell>
          <cell r="R195">
            <v>0.46770936687653908</v>
          </cell>
          <cell r="S195">
            <v>2.6391231911503908E-3</v>
          </cell>
        </row>
        <row r="196">
          <cell r="K196">
            <v>1451</v>
          </cell>
          <cell r="P196">
            <v>4.2736845238634497E-2</v>
          </cell>
          <cell r="Q196">
            <v>0.28556674479432925</v>
          </cell>
          <cell r="R196">
            <v>0.6514811684723173</v>
          </cell>
          <cell r="S196">
            <v>2.0215241494718941E-2</v>
          </cell>
        </row>
        <row r="197">
          <cell r="K197">
            <v>30</v>
          </cell>
          <cell r="P197">
            <v>1.1753183153770812E-2</v>
          </cell>
          <cell r="Q197">
            <v>1.8137943760734715E-2</v>
          </cell>
          <cell r="R197">
            <v>0.69346903433689622</v>
          </cell>
          <cell r="S197">
            <v>0.27663983874859827</v>
          </cell>
        </row>
        <row r="198">
          <cell r="K198">
            <v>2488</v>
          </cell>
          <cell r="P198">
            <v>6.2444923619271446E-2</v>
          </cell>
          <cell r="Q198">
            <v>0.31804683901292596</v>
          </cell>
          <cell r="R198">
            <v>0.61794923619271447</v>
          </cell>
          <cell r="S198">
            <v>1.5590011750881317E-3</v>
          </cell>
        </row>
        <row r="199">
          <cell r="K199">
            <v>1982</v>
          </cell>
          <cell r="P199">
            <v>4.7046790691860588E-2</v>
          </cell>
          <cell r="Q199">
            <v>0.29249494107761642</v>
          </cell>
          <cell r="R199">
            <v>0.51137191586286401</v>
          </cell>
          <cell r="S199">
            <v>0.14908635236765902</v>
          </cell>
        </row>
        <row r="200">
          <cell r="K200">
            <v>2697</v>
          </cell>
          <cell r="P200">
            <v>7.7514992503748131E-2</v>
          </cell>
          <cell r="Q200">
            <v>0.20446035504974786</v>
          </cell>
          <cell r="R200">
            <v>0.71584234019353954</v>
          </cell>
          <cell r="S200">
            <v>2.1823122529644268E-3</v>
          </cell>
        </row>
        <row r="201">
          <cell r="K201">
            <v>1086</v>
          </cell>
          <cell r="P201">
            <v>3.2080729531287204E-2</v>
          </cell>
          <cell r="Q201">
            <v>0.15486718859176535</v>
          </cell>
          <cell r="R201">
            <v>0.77255307089031189</v>
          </cell>
          <cell r="S201">
            <v>4.0499010986635518E-2</v>
          </cell>
        </row>
        <row r="202">
          <cell r="K202">
            <v>2156</v>
          </cell>
          <cell r="P202">
            <v>9.9583350991435962E-2</v>
          </cell>
          <cell r="Q202">
            <v>0.33255331752922279</v>
          </cell>
          <cell r="R202">
            <v>0.46544233624156256</v>
          </cell>
          <cell r="S202">
            <v>0.1024209952377787</v>
          </cell>
        </row>
        <row r="203">
          <cell r="K203">
            <v>726</v>
          </cell>
          <cell r="P203">
            <v>3.2331535244154344E-2</v>
          </cell>
          <cell r="Q203">
            <v>0.15242885372498341</v>
          </cell>
          <cell r="R203">
            <v>0.64773563340949902</v>
          </cell>
          <cell r="S203">
            <v>0.16750397762136326</v>
          </cell>
        </row>
        <row r="204">
          <cell r="K204">
            <v>3378</v>
          </cell>
          <cell r="P204">
            <v>8.9639201493206824E-2</v>
          </cell>
          <cell r="Q204">
            <v>0.56390888024805086</v>
          </cell>
          <cell r="R204">
            <v>0.33928502001080957</v>
          </cell>
          <cell r="S204">
            <v>7.166898247932727E-3</v>
          </cell>
        </row>
        <row r="205">
          <cell r="K205">
            <v>103471</v>
          </cell>
          <cell r="P205">
            <v>0.15932670707070706</v>
          </cell>
          <cell r="Q205">
            <v>0.43090268686868688</v>
          </cell>
          <cell r="R205">
            <v>0.3896108611111111</v>
          </cell>
          <cell r="S205">
            <v>2.0159744949494948E-2</v>
          </cell>
        </row>
        <row r="206">
          <cell r="K206">
            <v>579</v>
          </cell>
          <cell r="P206">
            <v>9.0320508230167268E-2</v>
          </cell>
          <cell r="Q206">
            <v>0</v>
          </cell>
          <cell r="R206">
            <v>1.6353938396981748E-2</v>
          </cell>
          <cell r="S206">
            <v>0.89332555337285102</v>
          </cell>
        </row>
        <row r="207">
          <cell r="K207">
            <v>104109</v>
          </cell>
          <cell r="P207">
            <v>3.2863317602476953E-2</v>
          </cell>
          <cell r="Q207">
            <v>0.10250494062037488</v>
          </cell>
          <cell r="R207">
            <v>0.20213876330516317</v>
          </cell>
          <cell r="S207">
            <v>0.66249297847198485</v>
          </cell>
        </row>
        <row r="208">
          <cell r="K208">
            <v>1173</v>
          </cell>
          <cell r="P208">
            <v>8.9730049947394336E-2</v>
          </cell>
          <cell r="Q208">
            <v>0.20560347087665731</v>
          </cell>
          <cell r="R208">
            <v>0.70320609128300071</v>
          </cell>
          <cell r="S208">
            <v>1.4603878929476035E-3</v>
          </cell>
        </row>
        <row r="209">
          <cell r="K209">
            <v>127</v>
          </cell>
          <cell r="P209">
            <v>2.0300411522633746E-2</v>
          </cell>
          <cell r="Q209">
            <v>0.12973159579332419</v>
          </cell>
          <cell r="R209">
            <v>0.84932784636488345</v>
          </cell>
          <cell r="S209">
            <v>6.4014631915866485E-4</v>
          </cell>
        </row>
        <row r="210">
          <cell r="K210">
            <v>2035</v>
          </cell>
          <cell r="P210">
            <v>8.5058695652173902E-2</v>
          </cell>
          <cell r="Q210">
            <v>0.26343079710144923</v>
          </cell>
          <cell r="R210">
            <v>0.64918115942028976</v>
          </cell>
          <cell r="S210">
            <v>2.3293478260869565E-3</v>
          </cell>
        </row>
        <row r="211">
          <cell r="K211">
            <v>70</v>
          </cell>
          <cell r="P211">
            <v>4.862198952879581E-2</v>
          </cell>
          <cell r="Q211">
            <v>0.15247748691099478</v>
          </cell>
          <cell r="R211">
            <v>0.79890052356020946</v>
          </cell>
          <cell r="S211">
            <v>0</v>
          </cell>
        </row>
        <row r="212">
          <cell r="K212">
            <v>2124</v>
          </cell>
          <cell r="P212">
            <v>8.5455130434782603E-2</v>
          </cell>
          <cell r="Q212">
            <v>0.16158069565217387</v>
          </cell>
          <cell r="R212">
            <v>0.75078617391304348</v>
          </cell>
          <cell r="S212">
            <v>2.1779999999999998E-3</v>
          </cell>
        </row>
        <row r="213">
          <cell r="K213">
            <v>6672</v>
          </cell>
          <cell r="P213">
            <v>8.561534539117352E-2</v>
          </cell>
          <cell r="Q213">
            <v>0.26465674966192027</v>
          </cell>
          <cell r="R213">
            <v>0.6480352519349083</v>
          </cell>
          <cell r="S213">
            <v>1.6926530119978429E-3</v>
          </cell>
        </row>
        <row r="214">
          <cell r="K214">
            <v>8992</v>
          </cell>
          <cell r="P214">
            <v>7.5768283276772444E-2</v>
          </cell>
          <cell r="Q214">
            <v>0.22417204798496196</v>
          </cell>
          <cell r="R214">
            <v>0.69878059718638508</v>
          </cell>
          <cell r="S214">
            <v>1.2790715518804887E-3</v>
          </cell>
        </row>
        <row r="215">
          <cell r="K215">
            <v>3389</v>
          </cell>
          <cell r="P215">
            <v>8.8000427214554006E-2</v>
          </cell>
          <cell r="Q215">
            <v>0.35426214890342478</v>
          </cell>
          <cell r="R215">
            <v>0.55478970200488498</v>
          </cell>
          <cell r="S215">
            <v>2.9477218771362559E-3</v>
          </cell>
        </row>
        <row r="216">
          <cell r="K216">
            <v>2391</v>
          </cell>
          <cell r="P216">
            <v>8.9707391304347822E-2</v>
          </cell>
          <cell r="Q216">
            <v>0.39460777777777778</v>
          </cell>
          <cell r="R216">
            <v>0.5134309178743961</v>
          </cell>
          <cell r="S216">
            <v>2.2539130434782607E-3</v>
          </cell>
        </row>
        <row r="217">
          <cell r="K217">
            <v>3545</v>
          </cell>
          <cell r="P217">
            <v>8.6564052008444567E-2</v>
          </cell>
          <cell r="Q217">
            <v>0.13552680250634339</v>
          </cell>
          <cell r="R217">
            <v>0.63921363606043569</v>
          </cell>
          <cell r="S217">
            <v>0.13869550942477635</v>
          </cell>
        </row>
        <row r="218">
          <cell r="K218">
            <v>2729</v>
          </cell>
          <cell r="P218">
            <v>8.6013693015649026E-2</v>
          </cell>
          <cell r="Q218">
            <v>9.8390440492742148E-2</v>
          </cell>
          <cell r="R218">
            <v>0.81355158003586503</v>
          </cell>
          <cell r="S218">
            <v>2.0442864557438122E-3</v>
          </cell>
        </row>
        <row r="219">
          <cell r="K219">
            <v>8896</v>
          </cell>
          <cell r="P219">
            <v>0.12466858493493795</v>
          </cell>
          <cell r="Q219">
            <v>0.14722146954254497</v>
          </cell>
          <cell r="R219">
            <v>0.72067911497343673</v>
          </cell>
          <cell r="S219">
            <v>7.4308305490803925E-3</v>
          </cell>
        </row>
        <row r="220">
          <cell r="K220">
            <v>1162</v>
          </cell>
          <cell r="P220">
            <v>0.10623077922077923</v>
          </cell>
          <cell r="Q220">
            <v>8.482467532467533E-2</v>
          </cell>
          <cell r="R220">
            <v>0.80692808441558439</v>
          </cell>
          <cell r="S220">
            <v>2.016461038961039E-3</v>
          </cell>
        </row>
        <row r="221">
          <cell r="K221">
            <v>1620</v>
          </cell>
          <cell r="P221">
            <v>0.12608430559668346</v>
          </cell>
          <cell r="Q221">
            <v>0.34393180337577733</v>
          </cell>
          <cell r="R221">
            <v>0.52754006514657981</v>
          </cell>
          <cell r="S221">
            <v>2.4438258809594314E-3</v>
          </cell>
        </row>
        <row r="222">
          <cell r="K222">
            <v>669</v>
          </cell>
          <cell r="P222">
            <v>2.6061733975287802E-2</v>
          </cell>
          <cell r="Q222">
            <v>4.086136765040313E-2</v>
          </cell>
          <cell r="R222">
            <v>0.93203641236734291</v>
          </cell>
          <cell r="S222">
            <v>1.0404860069661967E-3</v>
          </cell>
        </row>
        <row r="223">
          <cell r="K223">
            <v>900</v>
          </cell>
          <cell r="P223">
            <v>3.9950934669273609E-2</v>
          </cell>
          <cell r="Q223">
            <v>5.0783762468071814E-2</v>
          </cell>
          <cell r="R223">
            <v>0.90842230029131132</v>
          </cell>
          <cell r="S223">
            <v>8.4300257134326461E-4</v>
          </cell>
        </row>
        <row r="224">
          <cell r="K224">
            <v>10579</v>
          </cell>
          <cell r="P224">
            <v>7.582816324036093E-2</v>
          </cell>
          <cell r="Q224">
            <v>0.29844854643822538</v>
          </cell>
          <cell r="R224">
            <v>0.39040359926734458</v>
          </cell>
          <cell r="S224">
            <v>0.23531969105406925</v>
          </cell>
        </row>
        <row r="225">
          <cell r="K225">
            <v>34496</v>
          </cell>
          <cell r="P225">
            <v>0.20802924274677803</v>
          </cell>
          <cell r="Q225">
            <v>0.30141201082666297</v>
          </cell>
          <cell r="R225">
            <v>0.46802855213326644</v>
          </cell>
          <cell r="S225">
            <v>2.2530194293292567E-2</v>
          </cell>
        </row>
        <row r="226">
          <cell r="K226">
            <v>950</v>
          </cell>
          <cell r="P226">
            <v>5.9335835294117636E-2</v>
          </cell>
          <cell r="Q226">
            <v>0.22571101176470587</v>
          </cell>
          <cell r="R226">
            <v>0.71218957647058823</v>
          </cell>
          <cell r="S226">
            <v>2.7635764705882353E-3</v>
          </cell>
        </row>
        <row r="227">
          <cell r="K227">
            <v>141</v>
          </cell>
          <cell r="P227">
            <v>0.10044444444444445</v>
          </cell>
          <cell r="Q227">
            <v>0.33304866666666666</v>
          </cell>
          <cell r="R227">
            <v>0.5639142962962963</v>
          </cell>
          <cell r="S227">
            <v>2.5925925925925925E-3</v>
          </cell>
        </row>
        <row r="228">
          <cell r="K228">
            <v>807</v>
          </cell>
          <cell r="P228">
            <v>1.9884629881257051E-2</v>
          </cell>
          <cell r="Q228">
            <v>8.3228770472778754E-2</v>
          </cell>
          <cell r="R228">
            <v>0.89637163020330168</v>
          </cell>
          <cell r="S228">
            <v>5.1496944266256242E-4</v>
          </cell>
        </row>
        <row r="229">
          <cell r="K229">
            <v>607</v>
          </cell>
          <cell r="P229">
            <v>5.7693639751552783E-2</v>
          </cell>
          <cell r="Q229">
            <v>0.24812397515527951</v>
          </cell>
          <cell r="R229">
            <v>0.68790832298136639</v>
          </cell>
          <cell r="S229">
            <v>6.2740621118012414E-3</v>
          </cell>
        </row>
        <row r="230">
          <cell r="K230">
            <v>586</v>
          </cell>
          <cell r="P230">
            <v>5.7827210572147625E-2</v>
          </cell>
          <cell r="Q230">
            <v>0.3897494199132856</v>
          </cell>
          <cell r="R230">
            <v>0.55167496854910636</v>
          </cell>
          <cell r="S230">
            <v>7.5161835676172141E-4</v>
          </cell>
        </row>
        <row r="231">
          <cell r="K231">
            <v>413</v>
          </cell>
          <cell r="P231">
            <v>8.3583963759909397E-2</v>
          </cell>
          <cell r="Q231">
            <v>0.19731646659116647</v>
          </cell>
          <cell r="R231">
            <v>0.71769019252548127</v>
          </cell>
          <cell r="S231">
            <v>1.4093771234428086E-3</v>
          </cell>
        </row>
        <row r="232">
          <cell r="K232">
            <v>377</v>
          </cell>
          <cell r="P232">
            <v>8.9420187357390601E-2</v>
          </cell>
          <cell r="Q232">
            <v>0.41020168490750974</v>
          </cell>
          <cell r="R232">
            <v>0.37887378880545819</v>
          </cell>
          <cell r="S232">
            <v>0.12150433892964148</v>
          </cell>
        </row>
        <row r="233">
          <cell r="K233">
            <v>1278</v>
          </cell>
          <cell r="P233">
            <v>0.10626512336466853</v>
          </cell>
          <cell r="Q233">
            <v>0.29300804236687106</v>
          </cell>
          <cell r="R233">
            <v>0.59803344916313195</v>
          </cell>
          <cell r="S233">
            <v>2.6933851053284447E-3</v>
          </cell>
        </row>
        <row r="234">
          <cell r="K234">
            <v>1394</v>
          </cell>
          <cell r="P234">
            <v>0.11937944182078458</v>
          </cell>
          <cell r="Q234">
            <v>0.35915771576161376</v>
          </cell>
          <cell r="R234">
            <v>0.42445698863183473</v>
          </cell>
          <cell r="S234">
            <v>9.7005853785766927E-2</v>
          </cell>
        </row>
        <row r="235">
          <cell r="K235">
            <v>650</v>
          </cell>
          <cell r="P235">
            <v>2.4841318990475345E-2</v>
          </cell>
          <cell r="Q235">
            <v>7.5799673949205462E-2</v>
          </cell>
          <cell r="R235">
            <v>0.21454081759020427</v>
          </cell>
          <cell r="S235">
            <v>0.68481818947011508</v>
          </cell>
        </row>
        <row r="236">
          <cell r="K236">
            <v>731</v>
          </cell>
          <cell r="P236">
            <v>6.4739987093557952E-2</v>
          </cell>
          <cell r="Q236">
            <v>0.27328648187996141</v>
          </cell>
          <cell r="R236">
            <v>0.66053660337135822</v>
          </cell>
          <cell r="S236">
            <v>1.4369276551223973E-3</v>
          </cell>
        </row>
        <row r="237">
          <cell r="K237">
            <v>239</v>
          </cell>
          <cell r="P237">
            <v>4.8338496074748306E-2</v>
          </cell>
          <cell r="Q237">
            <v>0.48627252196232712</v>
          </cell>
          <cell r="R237">
            <v>0.4629975861543783</v>
          </cell>
          <cell r="S237">
            <v>2.3913958085462757E-3</v>
          </cell>
        </row>
        <row r="238">
          <cell r="K238">
            <v>847</v>
          </cell>
          <cell r="P238">
            <v>3.4337870507847944E-2</v>
          </cell>
          <cell r="Q238">
            <v>5.6549866989433657E-2</v>
          </cell>
          <cell r="R238">
            <v>0.32254015163034122</v>
          </cell>
          <cell r="S238">
            <v>0.58657211087237715</v>
          </cell>
        </row>
        <row r="239">
          <cell r="K239">
            <v>6122</v>
          </cell>
          <cell r="P239">
            <v>9.7693487179487185E-2</v>
          </cell>
          <cell r="Q239">
            <v>0.14050422222222222</v>
          </cell>
          <cell r="R239">
            <v>0.67565964957264957</v>
          </cell>
          <cell r="S239">
            <v>8.6142641025641023E-2</v>
          </cell>
        </row>
        <row r="240">
          <cell r="K240">
            <v>774</v>
          </cell>
          <cell r="P240">
            <v>3.8061361537884864E-2</v>
          </cell>
          <cell r="Q240">
            <v>0.50769130262255313</v>
          </cell>
          <cell r="R240">
            <v>0.45133494126443963</v>
          </cell>
          <cell r="S240">
            <v>2.9123945751223356E-3</v>
          </cell>
        </row>
        <row r="241">
          <cell r="K241">
            <v>18</v>
          </cell>
          <cell r="P241">
            <v>3.278344481605351E-3</v>
          </cell>
          <cell r="Q241">
            <v>0.32102429765886287</v>
          </cell>
          <cell r="R241">
            <v>0.44901657190635452</v>
          </cell>
          <cell r="S241">
            <v>0.22668078595317726</v>
          </cell>
        </row>
        <row r="242">
          <cell r="K242">
            <v>281</v>
          </cell>
          <cell r="P242">
            <v>0.12004917147788391</v>
          </cell>
          <cell r="Q242">
            <v>0.15703294961631589</v>
          </cell>
          <cell r="R242">
            <v>9.8991528099804299E-2</v>
          </cell>
          <cell r="S242">
            <v>0.6239263508059959</v>
          </cell>
        </row>
        <row r="243">
          <cell r="K243">
            <v>1547</v>
          </cell>
          <cell r="P243">
            <v>3.8474296296296298E-2</v>
          </cell>
          <cell r="Q243">
            <v>0.3166977777777778</v>
          </cell>
          <cell r="R243">
            <v>0.54748325925925923</v>
          </cell>
          <cell r="S243">
            <v>9.7344666666666663E-2</v>
          </cell>
        </row>
        <row r="244">
          <cell r="K244">
            <v>1142</v>
          </cell>
          <cell r="P244">
            <v>9.5067259259259254E-2</v>
          </cell>
          <cell r="Q244">
            <v>0.41931348148148151</v>
          </cell>
          <cell r="R244">
            <v>0.43512325925925927</v>
          </cell>
          <cell r="S244">
            <v>5.0495999999999999E-2</v>
          </cell>
        </row>
        <row r="245">
          <cell r="K245">
            <v>2439</v>
          </cell>
          <cell r="P245">
            <v>3.1339489523809522E-2</v>
          </cell>
          <cell r="Q245">
            <v>0.25312121142857141</v>
          </cell>
          <cell r="R245">
            <v>0.53749121523809529</v>
          </cell>
          <cell r="S245">
            <v>0.1780480838095238</v>
          </cell>
        </row>
        <row r="246">
          <cell r="K246">
            <v>3146</v>
          </cell>
          <cell r="P246">
            <v>6.7058207915102211E-2</v>
          </cell>
          <cell r="Q246">
            <v>0.51489046014330009</v>
          </cell>
          <cell r="R246">
            <v>0.41591203080745009</v>
          </cell>
          <cell r="S246">
            <v>4.2392602750152874E-3</v>
          </cell>
        </row>
        <row r="247">
          <cell r="K247">
            <v>3613</v>
          </cell>
          <cell r="P247">
            <v>0.10899973977932663</v>
          </cell>
          <cell r="Q247">
            <v>0.36462598602079999</v>
          </cell>
          <cell r="R247">
            <v>0.52315101784719076</v>
          </cell>
          <cell r="S247">
            <v>3.2232563526826364E-3</v>
          </cell>
        </row>
        <row r="248">
          <cell r="K248">
            <v>6213</v>
          </cell>
          <cell r="P248">
            <v>0.10314023927313351</v>
          </cell>
          <cell r="Q248">
            <v>0.34422896541489728</v>
          </cell>
          <cell r="R248">
            <v>0.55040502921727785</v>
          </cell>
          <cell r="S248">
            <v>2.2257660946913326E-3</v>
          </cell>
        </row>
        <row r="249">
          <cell r="K249">
            <v>6247</v>
          </cell>
          <cell r="P249">
            <v>0.11018925831202046</v>
          </cell>
          <cell r="Q249">
            <v>0.26624680306905368</v>
          </cell>
          <cell r="R249">
            <v>0.6218769309462916</v>
          </cell>
          <cell r="S249">
            <v>1.6870076726342711E-3</v>
          </cell>
        </row>
        <row r="250">
          <cell r="K250">
            <v>1221</v>
          </cell>
          <cell r="P250">
            <v>0.31035520386469501</v>
          </cell>
          <cell r="Q250">
            <v>0.45096289090133984</v>
          </cell>
          <cell r="R250">
            <v>0.13112350064131076</v>
          </cell>
          <cell r="S250">
            <v>0.10755840459265438</v>
          </cell>
        </row>
        <row r="251">
          <cell r="K251">
            <v>8158</v>
          </cell>
          <cell r="P251">
            <v>0.10256872427983539</v>
          </cell>
          <cell r="Q251">
            <v>0.24916090534979424</v>
          </cell>
          <cell r="R251">
            <v>0.50307950617283947</v>
          </cell>
          <cell r="S251">
            <v>0.14519086419753086</v>
          </cell>
        </row>
        <row r="252">
          <cell r="K252">
            <v>890</v>
          </cell>
          <cell r="P252">
            <v>2.086973870768085E-2</v>
          </cell>
          <cell r="Q252">
            <v>0.21189738606233138</v>
          </cell>
          <cell r="R252">
            <v>0.76653719754712113</v>
          </cell>
          <cell r="S252">
            <v>6.9567768286663337E-4</v>
          </cell>
        </row>
        <row r="253">
          <cell r="K253">
            <v>3776</v>
          </cell>
          <cell r="P253">
            <v>0.19179686986311137</v>
          </cell>
          <cell r="Q253">
            <v>0.20063567535169541</v>
          </cell>
          <cell r="R253">
            <v>0.59189922099416914</v>
          </cell>
          <cell r="S253">
            <v>1.5668233791024031E-2</v>
          </cell>
        </row>
        <row r="254">
          <cell r="K254">
            <v>4935</v>
          </cell>
          <cell r="P254">
            <v>0.14884397826086956</v>
          </cell>
          <cell r="Q254">
            <v>0.29556986956521741</v>
          </cell>
          <cell r="R254">
            <v>0.54857250000000002</v>
          </cell>
          <cell r="S254">
            <v>7.0136521739130432E-3</v>
          </cell>
        </row>
        <row r="255">
          <cell r="K255">
            <v>3026</v>
          </cell>
          <cell r="P255">
            <v>0.12328643514176947</v>
          </cell>
          <cell r="Q255">
            <v>0.29670598176568308</v>
          </cell>
          <cell r="R255">
            <v>0.54130798585114526</v>
          </cell>
          <cell r="S255">
            <v>3.8699597241402213E-2</v>
          </cell>
        </row>
        <row r="256">
          <cell r="K256">
            <v>103359</v>
          </cell>
          <cell r="P256">
            <v>0.16073981925925926</v>
          </cell>
          <cell r="Q256">
            <v>0.23057455851851852</v>
          </cell>
          <cell r="R256">
            <v>0.58362914222222217</v>
          </cell>
          <cell r="S256">
            <v>2.5056479999999999E-2</v>
          </cell>
        </row>
        <row r="257">
          <cell r="K257">
            <v>3655</v>
          </cell>
          <cell r="P257">
            <v>9.4462631055919288E-2</v>
          </cell>
          <cell r="Q257">
            <v>0.14487493289749867</v>
          </cell>
          <cell r="R257">
            <v>0.40182225553644513</v>
          </cell>
          <cell r="S257">
            <v>0.358840180510137</v>
          </cell>
        </row>
        <row r="258">
          <cell r="K258">
            <v>1892</v>
          </cell>
          <cell r="P258">
            <v>9.7606521739130439E-2</v>
          </cell>
          <cell r="Q258">
            <v>0.21499217391304348</v>
          </cell>
          <cell r="R258">
            <v>0.57553108695652178</v>
          </cell>
          <cell r="S258">
            <v>0.11187021739130434</v>
          </cell>
        </row>
        <row r="259">
          <cell r="K259">
            <v>1260</v>
          </cell>
          <cell r="P259">
            <v>2.6374806171279609E-2</v>
          </cell>
          <cell r="Q259">
            <v>0.4484682432779265</v>
          </cell>
          <cell r="R259">
            <v>0.24915857438532565</v>
          </cell>
          <cell r="S259">
            <v>0.27599837616546824</v>
          </cell>
        </row>
        <row r="260">
          <cell r="K260">
            <v>322</v>
          </cell>
          <cell r="P260">
            <v>5.6367892976588632E-2</v>
          </cell>
          <cell r="Q260">
            <v>0.39699441471571906</v>
          </cell>
          <cell r="R260">
            <v>0.54663197324414714</v>
          </cell>
          <cell r="S260">
            <v>5.7190635451505019E-6</v>
          </cell>
        </row>
        <row r="261">
          <cell r="K261">
            <v>1218</v>
          </cell>
          <cell r="P261">
            <v>8.5953662733169109E-2</v>
          </cell>
          <cell r="Q261">
            <v>0.40012687951987647</v>
          </cell>
          <cell r="R261">
            <v>0.50890766165852852</v>
          </cell>
          <cell r="S261">
            <v>5.0117960884258862E-3</v>
          </cell>
        </row>
        <row r="262">
          <cell r="K262">
            <v>1059</v>
          </cell>
          <cell r="P262">
            <v>2.6359637851800673E-2</v>
          </cell>
          <cell r="Q262">
            <v>0.39001973562132741</v>
          </cell>
          <cell r="R262">
            <v>0.58313740666432068</v>
          </cell>
          <cell r="S262">
            <v>4.8321986255129689E-4</v>
          </cell>
        </row>
        <row r="263">
          <cell r="K263">
            <v>2316</v>
          </cell>
          <cell r="P263">
            <v>8.8896541062801926E-2</v>
          </cell>
          <cell r="Q263">
            <v>0.42276189371980677</v>
          </cell>
          <cell r="R263">
            <v>0.48427060869565219</v>
          </cell>
          <cell r="S263">
            <v>4.0709565217391308E-3</v>
          </cell>
        </row>
        <row r="264">
          <cell r="K264">
            <v>1431</v>
          </cell>
          <cell r="P264">
            <v>1.0195034342955362E-2</v>
          </cell>
          <cell r="Q264">
            <v>0.24096957772228303</v>
          </cell>
          <cell r="R264">
            <v>0.74589074055354498</v>
          </cell>
          <cell r="S264">
            <v>2.9446473812166675E-3</v>
          </cell>
        </row>
        <row r="265">
          <cell r="K265">
            <v>3429</v>
          </cell>
          <cell r="P265">
            <v>5.4232472710400203E-3</v>
          </cell>
          <cell r="Q265">
            <v>0.11538216414518598</v>
          </cell>
          <cell r="R265">
            <v>0.41461573676835661</v>
          </cell>
          <cell r="S265">
            <v>0.4645788518154173</v>
          </cell>
        </row>
        <row r="266">
          <cell r="K266">
            <v>2570</v>
          </cell>
          <cell r="P266">
            <v>9.5657651115393552E-2</v>
          </cell>
          <cell r="Q266">
            <v>0.2196801076225606</v>
          </cell>
          <cell r="R266">
            <v>0.20086037069605522</v>
          </cell>
          <cell r="S266">
            <v>0.48380187056599061</v>
          </cell>
        </row>
        <row r="267">
          <cell r="K267">
            <v>956</v>
          </cell>
          <cell r="P267">
            <v>3.3610785170340197E-3</v>
          </cell>
          <cell r="Q267">
            <v>7.7287472987341191E-2</v>
          </cell>
          <cell r="R267">
            <v>0.69706897761544506</v>
          </cell>
          <cell r="S267">
            <v>0.22228247086776307</v>
          </cell>
        </row>
        <row r="268">
          <cell r="K268">
            <v>3693</v>
          </cell>
          <cell r="P268">
            <v>9.8221415949513266E-2</v>
          </cell>
          <cell r="Q268">
            <v>0.37409806195231671</v>
          </cell>
          <cell r="R268">
            <v>0.52148093360270609</v>
          </cell>
          <cell r="S268">
            <v>6.199588495463898E-3</v>
          </cell>
        </row>
        <row r="269">
          <cell r="K269">
            <v>42</v>
          </cell>
          <cell r="P269">
            <v>6.2837777777777779E-3</v>
          </cell>
          <cell r="Q269">
            <v>0.28428466666666669</v>
          </cell>
          <cell r="R269">
            <v>0.70496933333333334</v>
          </cell>
          <cell r="S269">
            <v>4.4622222222222225E-3</v>
          </cell>
        </row>
        <row r="270">
          <cell r="K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1</v>
          </cell>
        </row>
        <row r="271">
          <cell r="K271">
            <v>225</v>
          </cell>
          <cell r="P271">
            <v>3.6634559999999997E-2</v>
          </cell>
          <cell r="Q271">
            <v>0.35301729200000004</v>
          </cell>
          <cell r="R271">
            <v>0.25018665000000001</v>
          </cell>
          <cell r="S271">
            <v>0.36016149799999997</v>
          </cell>
        </row>
        <row r="272">
          <cell r="K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</v>
          </cell>
        </row>
        <row r="273">
          <cell r="K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1</v>
          </cell>
        </row>
        <row r="274">
          <cell r="K274">
            <v>30</v>
          </cell>
          <cell r="P274">
            <v>1.8656894230769231E-3</v>
          </cell>
          <cell r="Q274">
            <v>0.11569919423076923</v>
          </cell>
          <cell r="R274">
            <v>0.47579280961538462</v>
          </cell>
          <cell r="S274">
            <v>0.40664230673076923</v>
          </cell>
        </row>
        <row r="275">
          <cell r="K275">
            <v>15</v>
          </cell>
          <cell r="P275">
            <v>1.586929313017511E-2</v>
          </cell>
          <cell r="Q275">
            <v>0.41657050256708983</v>
          </cell>
          <cell r="R275">
            <v>3.4478125048296254E-2</v>
          </cell>
          <cell r="S275">
            <v>0.53308207925443896</v>
          </cell>
        </row>
        <row r="276">
          <cell r="K276">
            <v>1824</v>
          </cell>
          <cell r="P276">
            <v>9.5627353206865398E-2</v>
          </cell>
          <cell r="Q276">
            <v>0.35195844625112915</v>
          </cell>
          <cell r="R276">
            <v>0.54001554953327313</v>
          </cell>
          <cell r="S276">
            <v>1.239865100873231E-2</v>
          </cell>
        </row>
        <row r="277">
          <cell r="K277">
            <v>2</v>
          </cell>
          <cell r="P277">
            <v>3.7484999999999998E-4</v>
          </cell>
          <cell r="Q277">
            <v>0.33542768333333334</v>
          </cell>
          <cell r="R277">
            <v>0.65378511666666672</v>
          </cell>
          <cell r="S277">
            <v>1.0412350000000001E-2</v>
          </cell>
        </row>
        <row r="278">
          <cell r="K278">
            <v>1</v>
          </cell>
          <cell r="P278">
            <v>1.2152916666666666E-3</v>
          </cell>
          <cell r="Q278">
            <v>0.28609258333333332</v>
          </cell>
          <cell r="R278">
            <v>0.70998950000000005</v>
          </cell>
          <cell r="S278">
            <v>2.7026250000000002E-3</v>
          </cell>
        </row>
        <row r="279">
          <cell r="K279">
            <v>0</v>
          </cell>
          <cell r="P279">
            <v>0</v>
          </cell>
          <cell r="Q279">
            <v>0.31579354308065344</v>
          </cell>
          <cell r="R279">
            <v>0.68420645691934645</v>
          </cell>
          <cell r="S279">
            <v>0</v>
          </cell>
        </row>
        <row r="280">
          <cell r="K280">
            <v>1771</v>
          </cell>
          <cell r="P280">
            <v>9.3510308032546618E-2</v>
          </cell>
          <cell r="Q280">
            <v>0.36966820649579085</v>
          </cell>
          <cell r="R280">
            <v>0.53033030857484598</v>
          </cell>
          <cell r="S280">
            <v>6.4911768968165381E-3</v>
          </cell>
        </row>
        <row r="281">
          <cell r="K281">
            <v>1310</v>
          </cell>
          <cell r="P281">
            <v>9.039949803369178E-2</v>
          </cell>
          <cell r="Q281">
            <v>0.50713993550789538</v>
          </cell>
          <cell r="R281">
            <v>0.39437625046316477</v>
          </cell>
          <cell r="S281">
            <v>8.084315995248028E-3</v>
          </cell>
        </row>
        <row r="282">
          <cell r="K282">
            <v>1096</v>
          </cell>
          <cell r="P282">
            <v>9.3400396584743584E-2</v>
          </cell>
          <cell r="Q282">
            <v>0.3086604509575126</v>
          </cell>
          <cell r="R282">
            <v>0.450424733202273</v>
          </cell>
          <cell r="S282">
            <v>0.14751441925547082</v>
          </cell>
        </row>
        <row r="283">
          <cell r="K283">
            <v>4616</v>
          </cell>
          <cell r="P283">
            <v>0.10052935183214393</v>
          </cell>
          <cell r="Q283">
            <v>0.48025412715354693</v>
          </cell>
          <cell r="R283">
            <v>0.41314996509435087</v>
          </cell>
          <cell r="S283">
            <v>6.0665559199582549E-3</v>
          </cell>
        </row>
        <row r="284">
          <cell r="K284">
            <v>0</v>
          </cell>
          <cell r="P284">
            <v>9.2369566311128996E-5</v>
          </cell>
          <cell r="Q284">
            <v>0.12943539790450795</v>
          </cell>
          <cell r="R284">
            <v>0.68391256650608778</v>
          </cell>
          <cell r="S284">
            <v>0.18655966602309318</v>
          </cell>
        </row>
        <row r="285">
          <cell r="K285">
            <v>0</v>
          </cell>
          <cell r="P285">
            <v>1.0287140228619933E-3</v>
          </cell>
          <cell r="Q285">
            <v>0.38560231035243137</v>
          </cell>
          <cell r="R285">
            <v>0.47038976752481998</v>
          </cell>
          <cell r="S285">
            <v>0.14297920809988662</v>
          </cell>
        </row>
        <row r="286">
          <cell r="K286">
            <v>150</v>
          </cell>
          <cell r="P286">
            <v>2.6108637364855819E-3</v>
          </cell>
          <cell r="Q286">
            <v>0.44916412126468414</v>
          </cell>
          <cell r="R286">
            <v>0.54812231271688294</v>
          </cell>
          <cell r="S286">
            <v>1.0270228194737596E-4</v>
          </cell>
        </row>
        <row r="287">
          <cell r="K287">
            <v>1517</v>
          </cell>
          <cell r="P287">
            <v>6.3673746662725544E-2</v>
          </cell>
          <cell r="Q287">
            <v>7.6148414507393652E-2</v>
          </cell>
          <cell r="R287">
            <v>0.8582679540490078</v>
          </cell>
          <cell r="S287">
            <v>1.9098847808730183E-3</v>
          </cell>
        </row>
        <row r="288">
          <cell r="K288">
            <v>0</v>
          </cell>
          <cell r="P288">
            <v>0</v>
          </cell>
          <cell r="Q288">
            <v>0.19256071250000001</v>
          </cell>
          <cell r="R288">
            <v>0.80511428750000003</v>
          </cell>
          <cell r="S288">
            <v>2.3249999999999998E-3</v>
          </cell>
        </row>
        <row r="289">
          <cell r="K289">
            <v>53</v>
          </cell>
          <cell r="P289">
            <v>1.9905166793052109E-4</v>
          </cell>
          <cell r="Q289">
            <v>0.33419547940672623</v>
          </cell>
          <cell r="R289">
            <v>0.66158176665104362</v>
          </cell>
          <cell r="S289">
            <v>4.02370227429962E-3</v>
          </cell>
        </row>
        <row r="290">
          <cell r="K290">
            <v>12</v>
          </cell>
          <cell r="P290">
            <v>3.2091645586036556E-5</v>
          </cell>
          <cell r="Q290">
            <v>4.1219675724894031E-2</v>
          </cell>
          <cell r="R290">
            <v>0.95874823262951991</v>
          </cell>
          <cell r="S290">
            <v>0</v>
          </cell>
        </row>
        <row r="291">
          <cell r="K291">
            <v>4068</v>
          </cell>
          <cell r="P291">
            <v>4.7275200792959243E-2</v>
          </cell>
          <cell r="Q291">
            <v>0.31807122323055381</v>
          </cell>
          <cell r="R291">
            <v>0.62964555787178444</v>
          </cell>
          <cell r="S291">
            <v>5.0080181047025508E-3</v>
          </cell>
        </row>
        <row r="292">
          <cell r="K292">
            <v>4295</v>
          </cell>
          <cell r="P292">
            <v>9.5759269135802474E-2</v>
          </cell>
          <cell r="Q292">
            <v>0.22420246913580247</v>
          </cell>
          <cell r="R292">
            <v>0.67580843456790118</v>
          </cell>
          <cell r="S292">
            <v>4.2298271604938268E-3</v>
          </cell>
        </row>
        <row r="293">
          <cell r="K293">
            <v>7324</v>
          </cell>
          <cell r="P293">
            <v>9.6732128776137266E-2</v>
          </cell>
          <cell r="Q293">
            <v>0.26792439568208393</v>
          </cell>
          <cell r="R293">
            <v>0.63158524349457534</v>
          </cell>
          <cell r="S293">
            <v>3.758232047203415E-3</v>
          </cell>
        </row>
        <row r="294">
          <cell r="K294">
            <v>776</v>
          </cell>
          <cell r="P294">
            <v>4.0555793259045306E-2</v>
          </cell>
          <cell r="Q294">
            <v>0.59343803949673268</v>
          </cell>
          <cell r="R294">
            <v>0.24830644911806074</v>
          </cell>
          <cell r="S294">
            <v>0.11769971812616115</v>
          </cell>
        </row>
        <row r="295">
          <cell r="K295">
            <v>2</v>
          </cell>
          <cell r="P295">
            <v>2.4641293175065825E-2</v>
          </cell>
          <cell r="Q295">
            <v>0.75683971894845037</v>
          </cell>
          <cell r="R295">
            <v>0</v>
          </cell>
          <cell r="S295">
            <v>0.21851898787648374</v>
          </cell>
        </row>
        <row r="296">
          <cell r="K296">
            <v>71</v>
          </cell>
          <cell r="P296">
            <v>7.093333333333333E-4</v>
          </cell>
          <cell r="Q296">
            <v>0.33676325000000001</v>
          </cell>
          <cell r="R296">
            <v>0.6625274166666667</v>
          </cell>
          <cell r="S296">
            <v>0</v>
          </cell>
        </row>
        <row r="297">
          <cell r="K297">
            <v>0</v>
          </cell>
          <cell r="P297">
            <v>0</v>
          </cell>
          <cell r="Q297">
            <v>0</v>
          </cell>
          <cell r="R297">
            <v>0.18730907743108505</v>
          </cell>
          <cell r="S297">
            <v>0.81269092256891518</v>
          </cell>
        </row>
        <row r="298">
          <cell r="K298">
            <v>0</v>
          </cell>
          <cell r="P298">
            <v>0</v>
          </cell>
          <cell r="Q298">
            <v>7.5092426904692824E-2</v>
          </cell>
          <cell r="R298">
            <v>0.92490757309530713</v>
          </cell>
          <cell r="S298">
            <v>0</v>
          </cell>
        </row>
        <row r="299">
          <cell r="K299">
            <v>2573</v>
          </cell>
          <cell r="P299">
            <v>9.0348453537936912E-2</v>
          </cell>
          <cell r="Q299">
            <v>0.55473237169650469</v>
          </cell>
          <cell r="R299">
            <v>0.34709945780051149</v>
          </cell>
          <cell r="S299">
            <v>7.8197169650468887E-3</v>
          </cell>
        </row>
        <row r="300">
          <cell r="K300">
            <v>261</v>
          </cell>
          <cell r="P300">
            <v>1.5021861982797551E-2</v>
          </cell>
          <cell r="Q300">
            <v>0.53518100494466325</v>
          </cell>
          <cell r="R300">
            <v>0.31226320118924605</v>
          </cell>
          <cell r="S300">
            <v>0.13753393188329316</v>
          </cell>
        </row>
        <row r="301">
          <cell r="K301">
            <v>1030</v>
          </cell>
          <cell r="P301">
            <v>0.10086817991179797</v>
          </cell>
          <cell r="Q301">
            <v>0.64801417078657397</v>
          </cell>
          <cell r="R301">
            <v>0.24951614707115896</v>
          </cell>
          <cell r="S301">
            <v>1.6015022304690975E-3</v>
          </cell>
        </row>
        <row r="302">
          <cell r="K302">
            <v>0</v>
          </cell>
          <cell r="P302">
            <v>0</v>
          </cell>
          <cell r="Q302">
            <v>0.17843048636363637</v>
          </cell>
          <cell r="R302">
            <v>0.23318181818181818</v>
          </cell>
          <cell r="S302">
            <v>0.5883876954545455</v>
          </cell>
        </row>
        <row r="303">
          <cell r="K303">
            <v>0</v>
          </cell>
          <cell r="P303">
            <v>8.9790058786577148E-5</v>
          </cell>
          <cell r="Q303">
            <v>0.59937971803798251</v>
          </cell>
          <cell r="R303">
            <v>0.40053049190323092</v>
          </cell>
          <cell r="S303">
            <v>0</v>
          </cell>
        </row>
        <row r="304">
          <cell r="K304">
            <v>3281</v>
          </cell>
          <cell r="P304">
            <v>9.6651416517531591E-2</v>
          </cell>
          <cell r="Q304">
            <v>0.13584876249517025</v>
          </cell>
          <cell r="R304">
            <v>0.76333477716099751</v>
          </cell>
          <cell r="S304">
            <v>4.1650438263006184E-3</v>
          </cell>
        </row>
        <row r="305">
          <cell r="K305">
            <v>1</v>
          </cell>
          <cell r="P305">
            <v>0.30544673957067636</v>
          </cell>
          <cell r="Q305">
            <v>0</v>
          </cell>
          <cell r="R305">
            <v>6.0153908464965575E-3</v>
          </cell>
          <cell r="S305">
            <v>0.68853786958282703</v>
          </cell>
        </row>
        <row r="306">
          <cell r="K306">
            <v>6808</v>
          </cell>
          <cell r="P306">
            <v>9.8186664676245566E-2</v>
          </cell>
          <cell r="Q306">
            <v>0.24114632132860608</v>
          </cell>
          <cell r="R306">
            <v>0.65514977869005409</v>
          </cell>
          <cell r="S306">
            <v>5.5172353050942343E-3</v>
          </cell>
        </row>
        <row r="307">
          <cell r="K307">
            <v>0</v>
          </cell>
          <cell r="P307">
            <v>0</v>
          </cell>
          <cell r="Q307">
            <v>0.4277353969454919</v>
          </cell>
          <cell r="R307">
            <v>0.57226460305450799</v>
          </cell>
          <cell r="S307">
            <v>0</v>
          </cell>
        </row>
        <row r="308">
          <cell r="K308">
            <v>1375</v>
          </cell>
          <cell r="P308">
            <v>8.6834953502749654E-2</v>
          </cell>
          <cell r="Q308">
            <v>0.21468036153981604</v>
          </cell>
          <cell r="R308">
            <v>0.69621169600958421</v>
          </cell>
          <cell r="S308">
            <v>2.2729889478501236E-3</v>
          </cell>
        </row>
        <row r="309">
          <cell r="K309">
            <v>4374</v>
          </cell>
          <cell r="P309">
            <v>9.7468953593005239E-2</v>
          </cell>
          <cell r="Q309">
            <v>0.43505761964454576</v>
          </cell>
          <cell r="R309">
            <v>0.46448551145532452</v>
          </cell>
          <cell r="S309">
            <v>2.9879153071244806E-3</v>
          </cell>
        </row>
        <row r="310">
          <cell r="K310">
            <v>8387</v>
          </cell>
          <cell r="P310">
            <v>0.11714129972864151</v>
          </cell>
          <cell r="Q310">
            <v>0.27988361740523721</v>
          </cell>
          <cell r="R310">
            <v>0.60297508286612123</v>
          </cell>
          <cell r="S310">
            <v>0</v>
          </cell>
        </row>
        <row r="311">
          <cell r="K311">
            <v>15</v>
          </cell>
          <cell r="P311">
            <v>7.3839080459770119E-4</v>
          </cell>
          <cell r="Q311">
            <v>0.27355475521498512</v>
          </cell>
          <cell r="R311">
            <v>0.72570685398041723</v>
          </cell>
          <cell r="S311">
            <v>0</v>
          </cell>
        </row>
        <row r="312">
          <cell r="K312">
            <v>40</v>
          </cell>
          <cell r="P312">
            <v>1.4323720930232559E-3</v>
          </cell>
          <cell r="Q312">
            <v>0.59577132558139534</v>
          </cell>
          <cell r="R312">
            <v>0.40048467441860464</v>
          </cell>
          <cell r="S312">
            <v>2.3116279069767443E-3</v>
          </cell>
        </row>
        <row r="313">
          <cell r="K313">
            <v>116</v>
          </cell>
          <cell r="P313">
            <v>1.4706340579710145E-3</v>
          </cell>
          <cell r="Q313">
            <v>0.53825666666666672</v>
          </cell>
          <cell r="R313">
            <v>0.45991653985507247</v>
          </cell>
          <cell r="S313">
            <v>3.5615942028985505E-4</v>
          </cell>
        </row>
        <row r="314">
          <cell r="K314">
            <v>0</v>
          </cell>
          <cell r="P314">
            <v>2.0610051746416236E-4</v>
          </cell>
          <cell r="Q314">
            <v>0.3046964016440602</v>
          </cell>
          <cell r="R314">
            <v>0.69509749783847563</v>
          </cell>
          <cell r="S314">
            <v>0</v>
          </cell>
        </row>
        <row r="315">
          <cell r="K315">
            <v>0</v>
          </cell>
          <cell r="P315">
            <v>0</v>
          </cell>
          <cell r="Q315">
            <v>0.15702803121063788</v>
          </cell>
          <cell r="R315">
            <v>0.82899386314718448</v>
          </cell>
          <cell r="S315">
            <v>1.3978105642177694E-2</v>
          </cell>
        </row>
        <row r="316">
          <cell r="K316">
            <v>0</v>
          </cell>
          <cell r="P316">
            <v>0</v>
          </cell>
          <cell r="Q316">
            <v>0.6699587075999679</v>
          </cell>
          <cell r="R316">
            <v>0.32134911712375908</v>
          </cell>
          <cell r="S316">
            <v>8.6921752762729732E-3</v>
          </cell>
        </row>
        <row r="317">
          <cell r="K317">
            <v>3368</v>
          </cell>
          <cell r="P317">
            <v>9.6976311194838974E-2</v>
          </cell>
          <cell r="Q317">
            <v>0.50313528398821172</v>
          </cell>
          <cell r="R317">
            <v>0.39571931949924294</v>
          </cell>
          <cell r="S317">
            <v>4.169085317706339E-3</v>
          </cell>
        </row>
        <row r="318">
          <cell r="K318">
            <v>0</v>
          </cell>
          <cell r="P318">
            <v>0</v>
          </cell>
          <cell r="Q318">
            <v>0.54841174074074073</v>
          </cell>
          <cell r="R318">
            <v>0.25543455555555555</v>
          </cell>
          <cell r="S318">
            <v>0.19615370370370369</v>
          </cell>
        </row>
        <row r="319">
          <cell r="K319">
            <v>0</v>
          </cell>
          <cell r="P319">
            <v>0</v>
          </cell>
          <cell r="Q319">
            <v>0.67451798913043481</v>
          </cell>
          <cell r="R319">
            <v>0.32373188405797104</v>
          </cell>
          <cell r="S319">
            <v>1.7501268115942029E-3</v>
          </cell>
        </row>
        <row r="320">
          <cell r="K320">
            <v>27</v>
          </cell>
          <cell r="P320">
            <v>1.4261012087760153E-3</v>
          </cell>
          <cell r="Q320">
            <v>0.5096314571030659</v>
          </cell>
          <cell r="R320">
            <v>0.4871484819669159</v>
          </cell>
          <cell r="S320">
            <v>1.7939597212421818E-3</v>
          </cell>
        </row>
        <row r="321">
          <cell r="K321">
            <v>0</v>
          </cell>
          <cell r="P321">
            <v>0</v>
          </cell>
          <cell r="Q321">
            <v>0.59822416296296299</v>
          </cell>
          <cell r="R321">
            <v>0.40177583703703706</v>
          </cell>
          <cell r="S321">
            <v>0</v>
          </cell>
        </row>
        <row r="322">
          <cell r="K322">
            <v>664</v>
          </cell>
          <cell r="P322">
            <v>6.691218931775024E-2</v>
          </cell>
          <cell r="Q322">
            <v>7.148899176945521E-2</v>
          </cell>
          <cell r="R322">
            <v>0.85996942232790807</v>
          </cell>
          <cell r="S322">
            <v>1.6293965848864648E-3</v>
          </cell>
        </row>
        <row r="323">
          <cell r="K323">
            <v>13251</v>
          </cell>
          <cell r="P323">
            <v>0.20642952852674615</v>
          </cell>
          <cell r="Q323">
            <v>0.32478022502086895</v>
          </cell>
          <cell r="R323">
            <v>0.45530170747935084</v>
          </cell>
          <cell r="S323">
            <v>1.3488538973034064E-2</v>
          </cell>
        </row>
        <row r="324">
          <cell r="K324">
            <v>21595</v>
          </cell>
          <cell r="P324">
            <v>0.16386312887082957</v>
          </cell>
          <cell r="Q324">
            <v>0.43233909035463336</v>
          </cell>
          <cell r="R324">
            <v>0.39339634218517922</v>
          </cell>
          <cell r="S324">
            <v>1.0401438589357857E-2</v>
          </cell>
        </row>
        <row r="325">
          <cell r="K325">
            <v>144</v>
          </cell>
          <cell r="P325">
            <v>6.8671725171679313E-3</v>
          </cell>
          <cell r="Q325">
            <v>0.52464667631161666</v>
          </cell>
          <cell r="R325">
            <v>0.46655523116638808</v>
          </cell>
          <cell r="S325">
            <v>1.9309200048273001E-3</v>
          </cell>
        </row>
        <row r="326">
          <cell r="K326">
            <v>2</v>
          </cell>
          <cell r="P326">
            <v>1.930791851851852E-2</v>
          </cell>
          <cell r="Q326">
            <v>0.66594965925925931</v>
          </cell>
          <cell r="R326">
            <v>0.16138789382716048</v>
          </cell>
          <cell r="S326">
            <v>0.15335452839506172</v>
          </cell>
        </row>
        <row r="327">
          <cell r="K327">
            <v>0</v>
          </cell>
          <cell r="P327">
            <v>2.0243288605588696E-5</v>
          </cell>
          <cell r="Q327">
            <v>0.27353823510674463</v>
          </cell>
          <cell r="R327">
            <v>0.72644152160464981</v>
          </cell>
          <cell r="S327">
            <v>0</v>
          </cell>
        </row>
        <row r="328">
          <cell r="K328">
            <v>0</v>
          </cell>
          <cell r="P328">
            <v>0</v>
          </cell>
          <cell r="Q328">
            <v>0.36130345806616265</v>
          </cell>
          <cell r="R328">
            <v>0.52997097010878236</v>
          </cell>
          <cell r="S328">
            <v>0.10872557182505503</v>
          </cell>
        </row>
        <row r="329">
          <cell r="K329">
            <v>0</v>
          </cell>
          <cell r="P329">
            <v>3.6036036036036037E-4</v>
          </cell>
          <cell r="Q329">
            <v>0.49053855855855855</v>
          </cell>
          <cell r="R329">
            <v>0.44159261261261262</v>
          </cell>
          <cell r="S329">
            <v>6.7508468468468474E-2</v>
          </cell>
        </row>
        <row r="330">
          <cell r="K330">
            <v>0</v>
          </cell>
          <cell r="P330">
            <v>0</v>
          </cell>
          <cell r="Q330">
            <v>0.65372928418803422</v>
          </cell>
          <cell r="R330">
            <v>2.7471153846153847E-2</v>
          </cell>
          <cell r="S330">
            <v>0.318799561965812</v>
          </cell>
        </row>
        <row r="331">
          <cell r="K331">
            <v>7348</v>
          </cell>
          <cell r="P331">
            <v>9.6246345573040848E-2</v>
          </cell>
          <cell r="Q331">
            <v>0.4537832052137975</v>
          </cell>
          <cell r="R331">
            <v>0.44569897313622636</v>
          </cell>
          <cell r="S331">
            <v>4.2714760769353042E-3</v>
          </cell>
        </row>
        <row r="332">
          <cell r="K332">
            <v>0</v>
          </cell>
          <cell r="P332">
            <v>0</v>
          </cell>
          <cell r="Q332">
            <v>0.82014575308641979</v>
          </cell>
          <cell r="R332">
            <v>0.11024691358024691</v>
          </cell>
          <cell r="S332">
            <v>6.9607333333333327E-2</v>
          </cell>
        </row>
        <row r="333">
          <cell r="K333">
            <v>0</v>
          </cell>
          <cell r="P333">
            <v>1.5352332015810277E-3</v>
          </cell>
          <cell r="Q333">
            <v>0.64222959683794467</v>
          </cell>
          <cell r="R333">
            <v>0.32960474308300397</v>
          </cell>
          <cell r="S333">
            <v>2.6630426877470356E-2</v>
          </cell>
        </row>
        <row r="334">
          <cell r="K334">
            <v>0</v>
          </cell>
          <cell r="P334">
            <v>1.0085470085470086E-3</v>
          </cell>
          <cell r="Q334">
            <v>0.82035811965811967</v>
          </cell>
          <cell r="R334">
            <v>0.11709401709401709</v>
          </cell>
          <cell r="S334">
            <v>6.1539316239316237E-2</v>
          </cell>
        </row>
        <row r="335">
          <cell r="K335">
            <v>148</v>
          </cell>
          <cell r="P335">
            <v>1.1244638763948458E-3</v>
          </cell>
          <cell r="Q335">
            <v>0.64772701502525543</v>
          </cell>
          <cell r="R335">
            <v>0.35114852109834976</v>
          </cell>
          <cell r="S335">
            <v>0</v>
          </cell>
        </row>
        <row r="336">
          <cell r="K336">
            <v>0</v>
          </cell>
          <cell r="P336">
            <v>0</v>
          </cell>
          <cell r="Q336">
            <v>0.66978566666666661</v>
          </cell>
          <cell r="R336">
            <v>0.20166666666666666</v>
          </cell>
          <cell r="S336">
            <v>0.12854766666666667</v>
          </cell>
        </row>
        <row r="337">
          <cell r="K337">
            <v>0</v>
          </cell>
          <cell r="P337">
            <v>3.9135526455871391E-3</v>
          </cell>
          <cell r="Q337">
            <v>0.47377299880525686</v>
          </cell>
          <cell r="R337">
            <v>0.15100507470101848</v>
          </cell>
          <cell r="S337">
            <v>0.37130837384813753</v>
          </cell>
        </row>
        <row r="338">
          <cell r="K338">
            <v>26986</v>
          </cell>
          <cell r="P338">
            <v>0.12756181833513555</v>
          </cell>
          <cell r="Q338">
            <v>0.56323525110119022</v>
          </cell>
          <cell r="R338">
            <v>0.30499752305768485</v>
          </cell>
          <cell r="S338">
            <v>4.2054075059893324E-3</v>
          </cell>
        </row>
        <row r="339">
          <cell r="K339">
            <v>29222</v>
          </cell>
          <cell r="P339">
            <v>0.31500656453414894</v>
          </cell>
          <cell r="Q339">
            <v>0.37245822452031252</v>
          </cell>
          <cell r="R339">
            <v>0.30210823167428835</v>
          </cell>
          <cell r="S339">
            <v>9.0145227861131334E-3</v>
          </cell>
        </row>
        <row r="340">
          <cell r="K340">
            <v>0</v>
          </cell>
          <cell r="P340">
            <v>0</v>
          </cell>
          <cell r="Q340">
            <v>0.38003679012345681</v>
          </cell>
          <cell r="R340">
            <v>0.18307904761904761</v>
          </cell>
          <cell r="S340">
            <v>0.4368841622574956</v>
          </cell>
        </row>
        <row r="341">
          <cell r="K341">
            <v>1087</v>
          </cell>
          <cell r="P341">
            <v>9.2730434782608701E-2</v>
          </cell>
          <cell r="Q341">
            <v>0.56746115217391302</v>
          </cell>
          <cell r="R341">
            <v>0.28455195652173915</v>
          </cell>
          <cell r="S341">
            <v>5.5256456521739133E-2</v>
          </cell>
        </row>
        <row r="342">
          <cell r="K342">
            <v>456</v>
          </cell>
          <cell r="P342">
            <v>1.0624095238095238E-2</v>
          </cell>
          <cell r="Q342">
            <v>0.72731090476190474</v>
          </cell>
          <cell r="R342">
            <v>0.26196585714285714</v>
          </cell>
          <cell r="S342">
            <v>9.9142857142857146E-5</v>
          </cell>
        </row>
        <row r="343">
          <cell r="K343">
            <v>4703</v>
          </cell>
          <cell r="P343">
            <v>0.10140722788452047</v>
          </cell>
          <cell r="Q343">
            <v>0.61375558724868851</v>
          </cell>
          <cell r="R343">
            <v>0.2746679579786524</v>
          </cell>
          <cell r="S343">
            <v>1.0169226888138504E-2</v>
          </cell>
        </row>
        <row r="344">
          <cell r="K344">
            <v>4247</v>
          </cell>
          <cell r="P344">
            <v>9.6985583330420844E-2</v>
          </cell>
          <cell r="Q344">
            <v>0.50624742055424221</v>
          </cell>
          <cell r="R344">
            <v>0.39321048149407806</v>
          </cell>
          <cell r="S344">
            <v>3.5565146212588202E-3</v>
          </cell>
        </row>
        <row r="345">
          <cell r="K345">
            <v>2870</v>
          </cell>
          <cell r="P345">
            <v>2.447681818181818E-3</v>
          </cell>
          <cell r="Q345">
            <v>0.56667219999999996</v>
          </cell>
          <cell r="R345">
            <v>0.42326165454545456</v>
          </cell>
          <cell r="S345">
            <v>7.6184636363636361E-3</v>
          </cell>
        </row>
        <row r="346">
          <cell r="K346">
            <v>0</v>
          </cell>
          <cell r="P346">
            <v>0</v>
          </cell>
          <cell r="Q346">
            <v>0.55287562962962966</v>
          </cell>
          <cell r="R346">
            <v>0.38842592592592595</v>
          </cell>
          <cell r="S346">
            <v>5.8698444444444442E-2</v>
          </cell>
        </row>
        <row r="347">
          <cell r="K347">
            <v>0</v>
          </cell>
          <cell r="P347">
            <v>0</v>
          </cell>
          <cell r="Q347">
            <v>0.56635983981693361</v>
          </cell>
          <cell r="R347">
            <v>0.35230114416475972</v>
          </cell>
          <cell r="S347">
            <v>8.1339016018306634E-2</v>
          </cell>
        </row>
        <row r="348">
          <cell r="K348">
            <v>51</v>
          </cell>
          <cell r="P348">
            <v>4.4242962962962962E-4</v>
          </cell>
          <cell r="Q348">
            <v>0.53270363259259257</v>
          </cell>
          <cell r="R348">
            <v>0.46446416592592593</v>
          </cell>
          <cell r="S348">
            <v>2.3897718518518518E-3</v>
          </cell>
        </row>
        <row r="349">
          <cell r="K349">
            <v>130</v>
          </cell>
          <cell r="P349">
            <v>3.3597181848644005E-3</v>
          </cell>
          <cell r="Q349">
            <v>0.66781627107708641</v>
          </cell>
          <cell r="R349">
            <v>0.29617224394082786</v>
          </cell>
          <cell r="S349">
            <v>3.2651766797221385E-2</v>
          </cell>
        </row>
        <row r="350">
          <cell r="K350">
            <v>0</v>
          </cell>
          <cell r="P350">
            <v>9.4249998952777793E-4</v>
          </cell>
          <cell r="Q350">
            <v>0.49793823613401961</v>
          </cell>
          <cell r="R350">
            <v>0.36040657932881581</v>
          </cell>
          <cell r="S350">
            <v>0.14071268454763683</v>
          </cell>
        </row>
        <row r="351">
          <cell r="K351">
            <v>662</v>
          </cell>
          <cell r="P351">
            <v>6.2811396011396015E-4</v>
          </cell>
          <cell r="Q351">
            <v>0.44429349287749287</v>
          </cell>
          <cell r="R351">
            <v>0.55414322507122504</v>
          </cell>
          <cell r="S351">
            <v>9.351680911680912E-4</v>
          </cell>
        </row>
        <row r="352">
          <cell r="K352">
            <v>593</v>
          </cell>
          <cell r="P352">
            <v>2.3667826749951834E-3</v>
          </cell>
          <cell r="Q352">
            <v>0.48046370541299643</v>
          </cell>
          <cell r="R352">
            <v>0.50952361794869061</v>
          </cell>
          <cell r="S352">
            <v>7.6458939633178482E-3</v>
          </cell>
        </row>
        <row r="353">
          <cell r="K353">
            <v>614</v>
          </cell>
          <cell r="P353">
            <v>0.14105915143011416</v>
          </cell>
          <cell r="Q353">
            <v>0.39980733140209895</v>
          </cell>
          <cell r="R353">
            <v>0.45913351716778689</v>
          </cell>
          <cell r="S353">
            <v>0</v>
          </cell>
        </row>
        <row r="354">
          <cell r="K354">
            <v>121</v>
          </cell>
          <cell r="P354">
            <v>0.2988846956521739</v>
          </cell>
          <cell r="Q354">
            <v>0.6967674782608696</v>
          </cell>
          <cell r="R354">
            <v>4.3478260869565218E-3</v>
          </cell>
          <cell r="S354">
            <v>0</v>
          </cell>
        </row>
        <row r="355">
          <cell r="K355">
            <v>0</v>
          </cell>
          <cell r="P355">
            <v>0</v>
          </cell>
          <cell r="Q355">
            <v>0.47924267368421053</v>
          </cell>
          <cell r="R355">
            <v>0.42518526315789473</v>
          </cell>
          <cell r="S355">
            <v>9.5572063157894738E-2</v>
          </cell>
        </row>
        <row r="356">
          <cell r="K356">
            <v>96</v>
          </cell>
          <cell r="P356">
            <v>0.1322984100541931</v>
          </cell>
          <cell r="Q356">
            <v>0.56927773047888153</v>
          </cell>
          <cell r="R356">
            <v>0.29842385946692535</v>
          </cell>
          <cell r="S356">
            <v>0</v>
          </cell>
        </row>
        <row r="357">
          <cell r="K357">
            <v>0</v>
          </cell>
          <cell r="P357">
            <v>0</v>
          </cell>
          <cell r="Q357">
            <v>0.82411924074074072</v>
          </cell>
          <cell r="R357">
            <v>0.13694444444444445</v>
          </cell>
          <cell r="S357">
            <v>3.8936314814814812E-2</v>
          </cell>
        </row>
        <row r="358">
          <cell r="K358">
            <v>7300</v>
          </cell>
          <cell r="P358">
            <v>0.10116679204494311</v>
          </cell>
          <cell r="Q358">
            <v>0.42703269496718532</v>
          </cell>
          <cell r="R358">
            <v>0.4502438366019848</v>
          </cell>
          <cell r="S358">
            <v>2.1556676385886799E-2</v>
          </cell>
        </row>
        <row r="359">
          <cell r="K359">
            <v>3180</v>
          </cell>
          <cell r="P359">
            <v>0.1001020059893518</v>
          </cell>
          <cell r="Q359">
            <v>0.32811089987126918</v>
          </cell>
          <cell r="R359">
            <v>0.54889604984243756</v>
          </cell>
          <cell r="S359">
            <v>2.2891044296941478E-2</v>
          </cell>
        </row>
        <row r="360">
          <cell r="K360">
            <v>53097</v>
          </cell>
          <cell r="P360">
            <v>0.16906688870671122</v>
          </cell>
          <cell r="Q360">
            <v>0.43540777694689459</v>
          </cell>
          <cell r="R360">
            <v>0.38807323561745721</v>
          </cell>
          <cell r="S360">
            <v>7.4520987289369801E-3</v>
          </cell>
        </row>
        <row r="361">
          <cell r="K361">
            <v>1</v>
          </cell>
          <cell r="P361">
            <v>8.6074073867496297E-5</v>
          </cell>
          <cell r="Q361">
            <v>0.30330180061281642</v>
          </cell>
          <cell r="R361">
            <v>0.44945746736574654</v>
          </cell>
          <cell r="S361">
            <v>0.24715465794756955</v>
          </cell>
        </row>
        <row r="362">
          <cell r="K362">
            <v>4678</v>
          </cell>
          <cell r="P362">
            <v>9.7688715535139414E-2</v>
          </cell>
          <cell r="Q362">
            <v>0.58761211359542875</v>
          </cell>
          <cell r="R362">
            <v>0.3110162628928631</v>
          </cell>
          <cell r="S362">
            <v>3.6829079765686827E-3</v>
          </cell>
        </row>
        <row r="363">
          <cell r="K363">
            <v>9671</v>
          </cell>
          <cell r="P363">
            <v>0.38039636901981844</v>
          </cell>
          <cell r="Q363">
            <v>0.56562192828109636</v>
          </cell>
          <cell r="R363">
            <v>2.6556051327802567E-2</v>
          </cell>
          <cell r="S363">
            <v>2.742465137123257E-2</v>
          </cell>
        </row>
        <row r="364">
          <cell r="K364">
            <v>1104</v>
          </cell>
          <cell r="P364">
            <v>9.9578321678321674E-2</v>
          </cell>
          <cell r="Q364">
            <v>0.43811605351170568</v>
          </cell>
          <cell r="R364">
            <v>6.0833079963514745E-2</v>
          </cell>
          <cell r="S364">
            <v>0.40147254484645789</v>
          </cell>
        </row>
        <row r="365">
          <cell r="K365">
            <v>344</v>
          </cell>
          <cell r="P365">
            <v>2.1158333333333333E-3</v>
          </cell>
          <cell r="Q365">
            <v>0.67652143333333337</v>
          </cell>
          <cell r="R365">
            <v>0.31601646666666666</v>
          </cell>
          <cell r="S365">
            <v>5.3462666666666669E-3</v>
          </cell>
        </row>
        <row r="366">
          <cell r="K366">
            <v>0</v>
          </cell>
          <cell r="P366">
            <v>7.9124579124579126E-5</v>
          </cell>
          <cell r="Q366">
            <v>0.4090659158249158</v>
          </cell>
          <cell r="R366">
            <v>0.27761075084175085</v>
          </cell>
          <cell r="S366">
            <v>0.31324420875420877</v>
          </cell>
        </row>
        <row r="367">
          <cell r="K367">
            <v>0</v>
          </cell>
          <cell r="P367">
            <v>8.1403508771929825E-5</v>
          </cell>
          <cell r="Q367">
            <v>0.48391056842105268</v>
          </cell>
          <cell r="R367">
            <v>0.1185880701754386</v>
          </cell>
          <cell r="S367">
            <v>0.39741995789473683</v>
          </cell>
        </row>
        <row r="368">
          <cell r="K368">
            <v>0</v>
          </cell>
          <cell r="P368">
            <v>1.8064872764584901E-4</v>
          </cell>
          <cell r="Q368">
            <v>0.81068826261989435</v>
          </cell>
          <cell r="R368">
            <v>0.18482261649810636</v>
          </cell>
          <cell r="S368">
            <v>4.3355694635003762E-3</v>
          </cell>
        </row>
        <row r="369">
          <cell r="K369">
            <v>0</v>
          </cell>
          <cell r="P369">
            <v>0</v>
          </cell>
          <cell r="Q369">
            <v>0.84487560195777656</v>
          </cell>
          <cell r="R369">
            <v>0.10616150418824186</v>
          </cell>
          <cell r="S369">
            <v>4.8962893853981559E-2</v>
          </cell>
        </row>
        <row r="370">
          <cell r="K370">
            <v>0</v>
          </cell>
          <cell r="P370">
            <v>0</v>
          </cell>
          <cell r="Q370">
            <v>0.3546143251028806</v>
          </cell>
          <cell r="R370">
            <v>0.18156418930041152</v>
          </cell>
          <cell r="S370">
            <v>0.46382148559670777</v>
          </cell>
        </row>
        <row r="371">
          <cell r="K371">
            <v>5287</v>
          </cell>
          <cell r="P371">
            <v>9.7165676872474432E-2</v>
          </cell>
          <cell r="Q371">
            <v>0.59682831407273906</v>
          </cell>
          <cell r="R371">
            <v>0.30303731245369953</v>
          </cell>
          <cell r="S371">
            <v>2.9686966010869422E-3</v>
          </cell>
        </row>
        <row r="372">
          <cell r="K372">
            <v>0</v>
          </cell>
          <cell r="P372">
            <v>0</v>
          </cell>
          <cell r="Q372">
            <v>0.71300042012161413</v>
          </cell>
          <cell r="R372">
            <v>9.4527363184079602E-2</v>
          </cell>
          <cell r="S372">
            <v>0.19247221669430625</v>
          </cell>
        </row>
        <row r="373">
          <cell r="K373">
            <v>0</v>
          </cell>
          <cell r="P373">
            <v>4.4944444444444441E-3</v>
          </cell>
          <cell r="Q373">
            <v>0.76062677777777776</v>
          </cell>
          <cell r="R373">
            <v>0.23</v>
          </cell>
          <cell r="S373">
            <v>4.8787777777777779E-3</v>
          </cell>
        </row>
        <row r="374">
          <cell r="K374">
            <v>0</v>
          </cell>
          <cell r="P374">
            <v>0</v>
          </cell>
          <cell r="Q374">
            <v>0.5578050040755721</v>
          </cell>
          <cell r="R374">
            <v>0.41091396757923521</v>
          </cell>
          <cell r="S374">
            <v>3.1281028345192738E-2</v>
          </cell>
        </row>
        <row r="375">
          <cell r="K375">
            <v>6726</v>
          </cell>
          <cell r="P375">
            <v>0.13093826447963416</v>
          </cell>
          <cell r="Q375">
            <v>0.71711512227426233</v>
          </cell>
          <cell r="R375">
            <v>0.14826382408847699</v>
          </cell>
          <cell r="S375">
            <v>3.6827891576264051E-3</v>
          </cell>
        </row>
        <row r="376">
          <cell r="K376">
            <v>6213</v>
          </cell>
          <cell r="P376">
            <v>0.31911968369913735</v>
          </cell>
          <cell r="Q376">
            <v>0.59082652867635743</v>
          </cell>
          <cell r="R376">
            <v>6.9918443870100586E-2</v>
          </cell>
          <cell r="S376">
            <v>2.0135343754404639E-2</v>
          </cell>
        </row>
        <row r="377">
          <cell r="K377">
            <v>10049</v>
          </cell>
          <cell r="P377">
            <v>9.8577852794944049E-2</v>
          </cell>
          <cell r="Q377">
            <v>0.54763831395205553</v>
          </cell>
          <cell r="R377">
            <v>0.34977499573584603</v>
          </cell>
          <cell r="S377">
            <v>4.0088375171543926E-3</v>
          </cell>
        </row>
        <row r="378">
          <cell r="K378">
            <v>0</v>
          </cell>
          <cell r="P378">
            <v>0</v>
          </cell>
          <cell r="Q378">
            <v>0.18270018324442941</v>
          </cell>
          <cell r="R378">
            <v>0.17226679661929148</v>
          </cell>
          <cell r="S378">
            <v>0.64503302013627906</v>
          </cell>
        </row>
        <row r="379">
          <cell r="K379">
            <v>0</v>
          </cell>
          <cell r="P379">
            <v>0</v>
          </cell>
          <cell r="Q379">
            <v>0.44113518929644979</v>
          </cell>
          <cell r="R379">
            <v>0.22581022309779258</v>
          </cell>
          <cell r="S379">
            <v>0.33305458760575751</v>
          </cell>
        </row>
        <row r="380">
          <cell r="K380">
            <v>141</v>
          </cell>
          <cell r="P380">
            <v>4.7552184055054607E-4</v>
          </cell>
          <cell r="Q380">
            <v>0.60618791611625866</v>
          </cell>
          <cell r="R380">
            <v>0.38317384453331332</v>
          </cell>
          <cell r="S380">
            <v>1.0162717509877494E-2</v>
          </cell>
        </row>
        <row r="381">
          <cell r="K381">
            <v>1392</v>
          </cell>
          <cell r="P381">
            <v>0.15468951282639321</v>
          </cell>
          <cell r="Q381">
            <v>0.71497606722799201</v>
          </cell>
          <cell r="R381">
            <v>0.12948795170854766</v>
          </cell>
          <cell r="S381">
            <v>8.4646823706712967E-4</v>
          </cell>
        </row>
        <row r="382">
          <cell r="K382">
            <v>10193</v>
          </cell>
          <cell r="P382">
            <v>9.5005791034582718E-2</v>
          </cell>
          <cell r="Q382">
            <v>0.2850157106341904</v>
          </cell>
          <cell r="R382">
            <v>0.48223761119274255</v>
          </cell>
          <cell r="S382">
            <v>0.13774088713848437</v>
          </cell>
        </row>
        <row r="383">
          <cell r="K383">
            <v>0</v>
          </cell>
          <cell r="P383">
            <v>0</v>
          </cell>
          <cell r="Q383">
            <v>0.28551357865009874</v>
          </cell>
          <cell r="R383">
            <v>0.24573466876243341</v>
          </cell>
          <cell r="S383">
            <v>0.46875175258746782</v>
          </cell>
        </row>
        <row r="384">
          <cell r="K384">
            <v>37928</v>
          </cell>
          <cell r="P384">
            <v>0.12573764396256795</v>
          </cell>
          <cell r="Q384">
            <v>0.59226017228890104</v>
          </cell>
          <cell r="R384">
            <v>0.27607715815896144</v>
          </cell>
          <cell r="S384">
            <v>5.9250255895695915E-3</v>
          </cell>
        </row>
        <row r="385">
          <cell r="K385">
            <v>613</v>
          </cell>
          <cell r="P385">
            <v>6.2766628748918668E-2</v>
          </cell>
          <cell r="Q385">
            <v>0.80233199599479599</v>
          </cell>
          <cell r="R385">
            <v>0.13486516494220382</v>
          </cell>
          <cell r="S385">
            <v>3.6210314081561757E-5</v>
          </cell>
        </row>
        <row r="386">
          <cell r="K386">
            <v>1819</v>
          </cell>
          <cell r="P386">
            <v>1.2636702215556565E-2</v>
          </cell>
          <cell r="Q386">
            <v>0.38860168659968963</v>
          </cell>
          <cell r="R386">
            <v>0.48416970534642984</v>
          </cell>
          <cell r="S386">
            <v>0.11459190583832396</v>
          </cell>
        </row>
        <row r="387">
          <cell r="K387">
            <v>0</v>
          </cell>
          <cell r="P387">
            <v>1.9690678845754621E-3</v>
          </cell>
          <cell r="Q387">
            <v>0.81119014947062495</v>
          </cell>
          <cell r="R387">
            <v>9.3107743408760657E-2</v>
          </cell>
          <cell r="S387">
            <v>9.3733039236039026E-2</v>
          </cell>
        </row>
        <row r="388">
          <cell r="K388">
            <v>2034</v>
          </cell>
          <cell r="P388">
            <v>9.8468421679571178E-2</v>
          </cell>
          <cell r="Q388">
            <v>0.5916835020845741</v>
          </cell>
          <cell r="R388">
            <v>0.29971767718880288</v>
          </cell>
          <cell r="S388">
            <v>1.0130399047051817E-2</v>
          </cell>
        </row>
        <row r="389">
          <cell r="K389">
            <v>2999</v>
          </cell>
          <cell r="P389">
            <v>0.11786782240205776</v>
          </cell>
          <cell r="Q389">
            <v>0.52217207995779402</v>
          </cell>
          <cell r="R389">
            <v>0.35568626391996866</v>
          </cell>
          <cell r="S389">
            <v>4.2738337201795517E-3</v>
          </cell>
        </row>
        <row r="390">
          <cell r="K390">
            <v>1140</v>
          </cell>
          <cell r="P390">
            <v>9.8209301381961572E-2</v>
          </cell>
          <cell r="Q390">
            <v>0.78759423628310044</v>
          </cell>
          <cell r="R390">
            <v>0.11397800233379828</v>
          </cell>
          <cell r="S390">
            <v>2.184600011397913E-4</v>
          </cell>
        </row>
        <row r="391">
          <cell r="K391">
            <v>1510</v>
          </cell>
          <cell r="P391">
            <v>9.689944786525817E-2</v>
          </cell>
          <cell r="Q391">
            <v>0.28286285337684219</v>
          </cell>
          <cell r="R391">
            <v>0.61713605074174949</v>
          </cell>
          <cell r="S391">
            <v>2.1713689640908565E-3</v>
          </cell>
        </row>
        <row r="392">
          <cell r="K392">
            <v>1355</v>
          </cell>
          <cell r="P392">
            <v>4.5865058597562833E-2</v>
          </cell>
          <cell r="Q392">
            <v>0.42986197506714019</v>
          </cell>
          <cell r="R392">
            <v>0.51725026573981014</v>
          </cell>
          <cell r="S392">
            <v>7.0227005954868419E-3</v>
          </cell>
        </row>
        <row r="393">
          <cell r="K393">
            <v>572</v>
          </cell>
          <cell r="P393">
            <v>3.8005060435304307E-2</v>
          </cell>
          <cell r="Q393">
            <v>0.26971787093645905</v>
          </cell>
          <cell r="R393">
            <v>0.69140133796102299</v>
          </cell>
          <cell r="S393">
            <v>8.7573066721363538E-4</v>
          </cell>
        </row>
        <row r="394">
          <cell r="K394">
            <v>16162</v>
          </cell>
          <cell r="P394">
            <v>0.10400331939365198</v>
          </cell>
          <cell r="Q394">
            <v>0.60837274307573608</v>
          </cell>
          <cell r="R394">
            <v>0.2734226017913573</v>
          </cell>
          <cell r="S394">
            <v>1.4201335739254596E-2</v>
          </cell>
        </row>
        <row r="395">
          <cell r="K395">
            <v>0</v>
          </cell>
          <cell r="P395">
            <v>0</v>
          </cell>
          <cell r="Q395">
            <v>0.36891922570016472</v>
          </cell>
          <cell r="R395">
            <v>0.10215650741350907</v>
          </cell>
          <cell r="S395">
            <v>0.32242509060955521</v>
          </cell>
        </row>
        <row r="396">
          <cell r="K396">
            <v>1267</v>
          </cell>
          <cell r="P396">
            <v>7.403591028795084E-2</v>
          </cell>
          <cell r="Q396">
            <v>0.6792292482079344</v>
          </cell>
          <cell r="R396">
            <v>0.23665688024067533</v>
          </cell>
          <cell r="S396">
            <v>8.0527370452185935E-3</v>
          </cell>
        </row>
        <row r="397">
          <cell r="K397">
            <v>1066</v>
          </cell>
          <cell r="P397">
            <v>0.10185889040722203</v>
          </cell>
          <cell r="Q397">
            <v>0.63191547132501613</v>
          </cell>
          <cell r="R397">
            <v>0.26036318280768739</v>
          </cell>
          <cell r="S397">
            <v>5.8624554600745105E-3</v>
          </cell>
        </row>
        <row r="398">
          <cell r="K398">
            <v>1221</v>
          </cell>
          <cell r="P398">
            <v>0.10703065504124835</v>
          </cell>
          <cell r="Q398">
            <v>0.71477944005202088</v>
          </cell>
          <cell r="R398">
            <v>0.17534201808662636</v>
          </cell>
          <cell r="S398">
            <v>2.8478868201044522E-3</v>
          </cell>
        </row>
        <row r="399">
          <cell r="K399">
            <v>543</v>
          </cell>
          <cell r="P399">
            <v>0.14430000000000001</v>
          </cell>
          <cell r="Q399">
            <v>0.76633777777777778</v>
          </cell>
          <cell r="R399">
            <v>0</v>
          </cell>
          <cell r="S399">
            <v>8.9362222222222218E-2</v>
          </cell>
        </row>
        <row r="400">
          <cell r="K400">
            <v>1161</v>
          </cell>
          <cell r="P400">
            <v>3.4478395006662922E-2</v>
          </cell>
          <cell r="Q400">
            <v>0.29991489300213164</v>
          </cell>
          <cell r="R400">
            <v>0.66448168358903037</v>
          </cell>
          <cell r="S400">
            <v>1.1250284021750941E-3</v>
          </cell>
        </row>
        <row r="401">
          <cell r="K401">
            <v>1412</v>
          </cell>
          <cell r="P401">
            <v>7.5767877931444003E-2</v>
          </cell>
          <cell r="Q401">
            <v>0.57498298010876969</v>
          </cell>
          <cell r="R401">
            <v>0.17378513402702114</v>
          </cell>
          <cell r="S401">
            <v>0.17546400793276518</v>
          </cell>
        </row>
        <row r="402">
          <cell r="K402">
            <v>324</v>
          </cell>
          <cell r="P402">
            <v>2.8301164021164015E-3</v>
          </cell>
          <cell r="Q402">
            <v>0.41647214814814815</v>
          </cell>
          <cell r="R402">
            <v>0.50764852910052904</v>
          </cell>
          <cell r="S402">
            <v>7.3049206349206336E-2</v>
          </cell>
        </row>
        <row r="403">
          <cell r="K403">
            <v>0</v>
          </cell>
          <cell r="P403">
            <v>0</v>
          </cell>
          <cell r="Q403">
            <v>0.45037037037037037</v>
          </cell>
          <cell r="R403">
            <v>0.12278966666666667</v>
          </cell>
          <cell r="S403">
            <v>0.42683996296296295</v>
          </cell>
        </row>
        <row r="404">
          <cell r="K404">
            <v>0</v>
          </cell>
          <cell r="P404">
            <v>7.6444444444444438E-5</v>
          </cell>
          <cell r="Q404">
            <v>0.46638235185185184</v>
          </cell>
          <cell r="R404">
            <v>0.53335601851851855</v>
          </cell>
          <cell r="S404">
            <v>1.8518518518518518E-4</v>
          </cell>
        </row>
        <row r="405">
          <cell r="K405">
            <v>6</v>
          </cell>
          <cell r="P405">
            <v>1.6666939821433909E-2</v>
          </cell>
          <cell r="Q405">
            <v>0.80600194936096248</v>
          </cell>
          <cell r="R405">
            <v>4.4752391630666473E-2</v>
          </cell>
          <cell r="S405">
            <v>0.13257871918693717</v>
          </cell>
        </row>
        <row r="406">
          <cell r="K406">
            <v>41258</v>
          </cell>
          <cell r="P406">
            <v>0.10520653062907245</v>
          </cell>
          <cell r="Q406">
            <v>0.41673076945665166</v>
          </cell>
          <cell r="R406">
            <v>0.47035108864301139</v>
          </cell>
          <cell r="S406">
            <v>7.7116112712644833E-3</v>
          </cell>
        </row>
        <row r="407">
          <cell r="K407">
            <v>2747</v>
          </cell>
          <cell r="P407">
            <v>0.18062240518038852</v>
          </cell>
          <cell r="Q407">
            <v>0.54608746530989827</v>
          </cell>
          <cell r="R407">
            <v>0.26540198889916744</v>
          </cell>
          <cell r="S407">
            <v>7.8881406105457911E-3</v>
          </cell>
        </row>
        <row r="408">
          <cell r="K408">
            <v>278</v>
          </cell>
          <cell r="P408">
            <v>3.2416190992926039E-3</v>
          </cell>
          <cell r="Q408">
            <v>0.65935919658955855</v>
          </cell>
          <cell r="R408">
            <v>0.33726310404308496</v>
          </cell>
          <cell r="S408">
            <v>1.3608026806384679E-4</v>
          </cell>
        </row>
        <row r="409">
          <cell r="K409">
            <v>0</v>
          </cell>
          <cell r="P409">
            <v>0</v>
          </cell>
          <cell r="Q409">
            <v>0.58781532603522135</v>
          </cell>
          <cell r="R409">
            <v>8.7101380295097564E-2</v>
          </cell>
          <cell r="S409">
            <v>0.32508329366968108</v>
          </cell>
        </row>
        <row r="410">
          <cell r="K410">
            <v>0</v>
          </cell>
          <cell r="P410">
            <v>0</v>
          </cell>
          <cell r="Q410">
            <v>0.42894771242872015</v>
          </cell>
          <cell r="R410">
            <v>0.5710522875712799</v>
          </cell>
          <cell r="S410">
            <v>0</v>
          </cell>
        </row>
        <row r="411">
          <cell r="K411">
            <v>0</v>
          </cell>
          <cell r="P411">
            <v>0</v>
          </cell>
          <cell r="Q411">
            <v>0.67180038168303768</v>
          </cell>
          <cell r="R411">
            <v>0.31371023804822207</v>
          </cell>
          <cell r="S411">
            <v>1.4489380268740217E-2</v>
          </cell>
        </row>
        <row r="412">
          <cell r="K412">
            <v>0</v>
          </cell>
          <cell r="P412">
            <v>0</v>
          </cell>
          <cell r="Q412">
            <v>0.45258476037932194</v>
          </cell>
          <cell r="R412">
            <v>0.16418192268654463</v>
          </cell>
          <cell r="S412">
            <v>0.38323331693413348</v>
          </cell>
        </row>
        <row r="413">
          <cell r="K413">
            <v>0</v>
          </cell>
          <cell r="P413">
            <v>0</v>
          </cell>
          <cell r="Q413">
            <v>0.55884619528619528</v>
          </cell>
          <cell r="R413">
            <v>0.1538776430976431</v>
          </cell>
          <cell r="S413">
            <v>0.2872761616161616</v>
          </cell>
        </row>
        <row r="414">
          <cell r="K414">
            <v>0</v>
          </cell>
          <cell r="P414">
            <v>0</v>
          </cell>
          <cell r="Q414">
            <v>0.37493969194674992</v>
          </cell>
          <cell r="R414">
            <v>0.48234940690391681</v>
          </cell>
          <cell r="S414">
            <v>0.14271090114933327</v>
          </cell>
        </row>
        <row r="415">
          <cell r="K415">
            <v>1530</v>
          </cell>
          <cell r="P415">
            <v>6.4046949891067538E-3</v>
          </cell>
          <cell r="Q415">
            <v>0.37809911764705884</v>
          </cell>
          <cell r="R415">
            <v>0.6119605664488017</v>
          </cell>
          <cell r="S415">
            <v>3.5356209150326796E-3</v>
          </cell>
        </row>
        <row r="416">
          <cell r="K416">
            <v>7135</v>
          </cell>
          <cell r="P416">
            <v>9.7176107412823759E-2</v>
          </cell>
          <cell r="Q416">
            <v>0.62087119324607831</v>
          </cell>
          <cell r="R416">
            <v>0.27451244714630396</v>
          </cell>
          <cell r="S416">
            <v>7.440252194794033E-3</v>
          </cell>
        </row>
        <row r="417">
          <cell r="K417">
            <v>16772</v>
          </cell>
          <cell r="P417">
            <v>0.11571812801932367</v>
          </cell>
          <cell r="Q417">
            <v>0.7701834541062802</v>
          </cell>
          <cell r="R417">
            <v>0.12442478260869565</v>
          </cell>
          <cell r="S417">
            <v>0</v>
          </cell>
        </row>
        <row r="418">
          <cell r="K418">
            <v>31017</v>
          </cell>
          <cell r="P418">
            <v>0.11398399397480351</v>
          </cell>
          <cell r="Q418">
            <v>0.72383819721782483</v>
          </cell>
          <cell r="R418">
            <v>0.15387323327386596</v>
          </cell>
          <cell r="S418">
            <v>8.3045755335056544E-3</v>
          </cell>
        </row>
        <row r="419">
          <cell r="K419">
            <v>3249</v>
          </cell>
          <cell r="P419">
            <v>9.5778246302771916E-2</v>
          </cell>
          <cell r="Q419">
            <v>0.37631791779602602</v>
          </cell>
          <cell r="R419">
            <v>0.44151364698107942</v>
          </cell>
          <cell r="S419">
            <v>8.6390188920122638E-2</v>
          </cell>
        </row>
        <row r="420">
          <cell r="K420">
            <v>3985</v>
          </cell>
          <cell r="P420">
            <v>9.4690080946900818E-2</v>
          </cell>
          <cell r="Q420">
            <v>0.59891578348915786</v>
          </cell>
          <cell r="R420">
            <v>0.29106532416065323</v>
          </cell>
          <cell r="S420">
            <v>1.5328811403288112E-2</v>
          </cell>
        </row>
        <row r="421">
          <cell r="K421">
            <v>1776</v>
          </cell>
          <cell r="P421">
            <v>0.10764379418113598</v>
          </cell>
          <cell r="Q421">
            <v>0.41945926921486615</v>
          </cell>
          <cell r="R421">
            <v>0.46889423843689226</v>
          </cell>
          <cell r="S421">
            <v>4.0026981671056321E-3</v>
          </cell>
        </row>
        <row r="422">
          <cell r="K422">
            <v>2517</v>
          </cell>
          <cell r="P422">
            <v>8.5581823070060736E-2</v>
          </cell>
          <cell r="Q422">
            <v>0.51325041651900105</v>
          </cell>
          <cell r="R422">
            <v>0.29283083218255956</v>
          </cell>
          <cell r="S422">
            <v>4.2601339378459963E-3</v>
          </cell>
        </row>
        <row r="423">
          <cell r="K423">
            <v>2831</v>
          </cell>
          <cell r="P423">
            <v>0.11195127376869271</v>
          </cell>
          <cell r="Q423">
            <v>0.76251232897545029</v>
          </cell>
          <cell r="R423">
            <v>0.12184188130112092</v>
          </cell>
          <cell r="S423">
            <v>3.6945159547361181E-3</v>
          </cell>
        </row>
        <row r="424">
          <cell r="K424">
            <v>4867</v>
          </cell>
          <cell r="P424">
            <v>0.16893483180195071</v>
          </cell>
          <cell r="Q424">
            <v>0.52484073412799037</v>
          </cell>
          <cell r="R424">
            <v>0.28380371990175757</v>
          </cell>
          <cell r="S424">
            <v>2.2420714168301346E-2</v>
          </cell>
        </row>
        <row r="425">
          <cell r="K425">
            <v>2769</v>
          </cell>
          <cell r="P425">
            <v>9.0998319276082373E-2</v>
          </cell>
          <cell r="Q425">
            <v>0.49990118677220252</v>
          </cell>
          <cell r="R425">
            <v>0.40461818209161043</v>
          </cell>
          <cell r="S425">
            <v>4.4823118601046621E-3</v>
          </cell>
        </row>
        <row r="426">
          <cell r="K426">
            <v>12697</v>
          </cell>
          <cell r="P426">
            <v>0.11008118807155097</v>
          </cell>
          <cell r="Q426">
            <v>0.76181171609606602</v>
          </cell>
          <cell r="R426">
            <v>0.12747788762218273</v>
          </cell>
          <cell r="S426">
            <v>6.2920821020023333E-4</v>
          </cell>
        </row>
        <row r="427">
          <cell r="K427">
            <v>66255</v>
          </cell>
          <cell r="P427">
            <v>0.19860505953031804</v>
          </cell>
          <cell r="Q427">
            <v>0.28802972580913372</v>
          </cell>
          <cell r="R427">
            <v>0.50339133138008563</v>
          </cell>
          <cell r="S427">
            <v>9.9738832804625952E-3</v>
          </cell>
        </row>
        <row r="428">
          <cell r="K428">
            <v>8368</v>
          </cell>
          <cell r="P428">
            <v>0.12000294375613077</v>
          </cell>
          <cell r="Q428">
            <v>0.76901535766122264</v>
          </cell>
          <cell r="R428">
            <v>0.11066362342766184</v>
          </cell>
          <cell r="S428">
            <v>3.1807515498470966E-4</v>
          </cell>
        </row>
        <row r="429">
          <cell r="K429">
            <v>0</v>
          </cell>
          <cell r="P429">
            <v>9.6256918466014745E-5</v>
          </cell>
          <cell r="Q429">
            <v>0.6228496860711864</v>
          </cell>
          <cell r="R429">
            <v>0.23298549583251296</v>
          </cell>
          <cell r="S429">
            <v>0.14406856117783465</v>
          </cell>
        </row>
        <row r="430">
          <cell r="K430">
            <v>35</v>
          </cell>
          <cell r="P430">
            <v>1.75500559866543E-4</v>
          </cell>
          <cell r="Q430">
            <v>0.21457786770235124</v>
          </cell>
          <cell r="R430">
            <v>0.52594658384155213</v>
          </cell>
          <cell r="S430">
            <v>0.26342822416881478</v>
          </cell>
        </row>
        <row r="431">
          <cell r="K431">
            <v>2</v>
          </cell>
          <cell r="P431">
            <v>1.11112E-2</v>
          </cell>
          <cell r="Q431">
            <v>0.70435119999999996</v>
          </cell>
          <cell r="R431">
            <v>0.14803333333333332</v>
          </cell>
          <cell r="S431">
            <v>0</v>
          </cell>
        </row>
        <row r="432">
          <cell r="K432">
            <v>2765</v>
          </cell>
          <cell r="P432">
            <v>9.0488449749932545E-2</v>
          </cell>
          <cell r="Q432">
            <v>0.70953329421474343</v>
          </cell>
          <cell r="R432">
            <v>0.19014414983468853</v>
          </cell>
          <cell r="S432">
            <v>9.8341062006356075E-3</v>
          </cell>
        </row>
        <row r="433">
          <cell r="K433">
            <v>1765</v>
          </cell>
          <cell r="P433">
            <v>5.3142901246001656E-2</v>
          </cell>
          <cell r="Q433">
            <v>0.45854825671923494</v>
          </cell>
          <cell r="R433">
            <v>0.48559204373812415</v>
          </cell>
          <cell r="S433">
            <v>2.7167982966393609E-3</v>
          </cell>
        </row>
        <row r="434">
          <cell r="K434">
            <v>1669</v>
          </cell>
          <cell r="P434">
            <v>3.9643509807675892E-2</v>
          </cell>
          <cell r="Q434">
            <v>0.70778085505131461</v>
          </cell>
          <cell r="R434">
            <v>0.24847309923682404</v>
          </cell>
          <cell r="S434">
            <v>4.1025359041854488E-3</v>
          </cell>
        </row>
        <row r="435">
          <cell r="K435">
            <v>15557</v>
          </cell>
          <cell r="P435">
            <v>0.13878153725738057</v>
          </cell>
          <cell r="Q435">
            <v>0.69979222482400927</v>
          </cell>
          <cell r="R435">
            <v>0.14841638952764213</v>
          </cell>
          <cell r="S435">
            <v>1.4447909492305183E-2</v>
          </cell>
        </row>
        <row r="436">
          <cell r="K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K437">
            <v>4310</v>
          </cell>
          <cell r="P437">
            <v>7.2683684162704057E-2</v>
          </cell>
          <cell r="Q437">
            <v>0.15698319047763273</v>
          </cell>
          <cell r="R437">
            <v>0.12132978162764636</v>
          </cell>
          <cell r="S437">
            <v>4.5777447981342947E-3</v>
          </cell>
        </row>
        <row r="438">
          <cell r="K438">
            <v>0</v>
          </cell>
          <cell r="P438">
            <v>0</v>
          </cell>
          <cell r="Q438">
            <v>0.37950826068393184</v>
          </cell>
          <cell r="R438">
            <v>0.35111595740330404</v>
          </cell>
          <cell r="S438">
            <v>6.3493432238210648E-2</v>
          </cell>
        </row>
        <row r="439">
          <cell r="K439">
            <v>0</v>
          </cell>
          <cell r="P439">
            <v>0</v>
          </cell>
          <cell r="Q439">
            <v>0.80158505218334153</v>
          </cell>
          <cell r="R439">
            <v>0.1984149478166585</v>
          </cell>
          <cell r="S439">
            <v>0</v>
          </cell>
        </row>
        <row r="440">
          <cell r="K440">
            <v>0</v>
          </cell>
          <cell r="P440">
            <v>2.4444444444444445E-5</v>
          </cell>
          <cell r="Q440">
            <v>0.60717268888888887</v>
          </cell>
          <cell r="R440">
            <v>0.29644723888888891</v>
          </cell>
          <cell r="S440">
            <v>9.6355627777777772E-2</v>
          </cell>
        </row>
        <row r="441">
          <cell r="K441">
            <v>2205</v>
          </cell>
          <cell r="P441">
            <v>2.4875882352941177E-3</v>
          </cell>
          <cell r="Q441">
            <v>0.50064655882352938</v>
          </cell>
          <cell r="R441">
            <v>0.49685275490196079</v>
          </cell>
          <cell r="S441">
            <v>1.3098039215686275E-5</v>
          </cell>
        </row>
        <row r="442">
          <cell r="K442">
            <v>1</v>
          </cell>
          <cell r="P442">
            <v>5.5408538234107726E-4</v>
          </cell>
          <cell r="Q442">
            <v>0.7127378998834204</v>
          </cell>
          <cell r="R442">
            <v>0.39543286479873402</v>
          </cell>
          <cell r="S442">
            <v>0</v>
          </cell>
        </row>
        <row r="443">
          <cell r="K443">
            <v>2596</v>
          </cell>
          <cell r="P443">
            <v>0.10086165217391305</v>
          </cell>
          <cell r="Q443">
            <v>0.78770052173913041</v>
          </cell>
          <cell r="R443">
            <v>0.10678592546583851</v>
          </cell>
          <cell r="S443">
            <v>4.6519006211180125E-3</v>
          </cell>
        </row>
        <row r="444">
          <cell r="K444">
            <v>1205</v>
          </cell>
          <cell r="P444">
            <v>7.3762630520079406E-2</v>
          </cell>
          <cell r="Q444">
            <v>0.79009904540801557</v>
          </cell>
          <cell r="R444">
            <v>0.13276912707942881</v>
          </cell>
          <cell r="S444">
            <v>3.3691969924762115E-3</v>
          </cell>
        </row>
        <row r="445">
          <cell r="K445">
            <v>5124</v>
          </cell>
          <cell r="P445">
            <v>0.60057128657559644</v>
          </cell>
          <cell r="Q445">
            <v>1.8472871634348048E-2</v>
          </cell>
          <cell r="R445">
            <v>0.12862930278578835</v>
          </cell>
          <cell r="S445">
            <v>0.25232653900426721</v>
          </cell>
        </row>
        <row r="446">
          <cell r="K446">
            <v>0</v>
          </cell>
          <cell r="P446">
            <v>3.8498402555910545E-5</v>
          </cell>
          <cell r="Q446">
            <v>0.49615312227708391</v>
          </cell>
          <cell r="R446">
            <v>0.47844478652338079</v>
          </cell>
          <cell r="S446">
            <v>2.5363592796979379E-2</v>
          </cell>
        </row>
        <row r="447">
          <cell r="K447">
            <v>0</v>
          </cell>
          <cell r="P447">
            <v>0</v>
          </cell>
          <cell r="Q447">
            <v>0.45494425675675676</v>
          </cell>
          <cell r="R447">
            <v>0.51856418918918923</v>
          </cell>
          <cell r="S447">
            <v>6.6163851351351347E-2</v>
          </cell>
        </row>
        <row r="448">
          <cell r="K448">
            <v>0</v>
          </cell>
          <cell r="P448">
            <v>0</v>
          </cell>
          <cell r="Q448">
            <v>0.12687526076037967</v>
          </cell>
          <cell r="R448">
            <v>0</v>
          </cell>
          <cell r="S448">
            <v>0</v>
          </cell>
        </row>
        <row r="449">
          <cell r="K449">
            <v>0</v>
          </cell>
          <cell r="P449">
            <v>0</v>
          </cell>
          <cell r="Q449">
            <v>0.5012667404311123</v>
          </cell>
          <cell r="R449">
            <v>0.20916318334562742</v>
          </cell>
          <cell r="S449">
            <v>0.36788332923530864</v>
          </cell>
        </row>
        <row r="450">
          <cell r="K450">
            <v>18015</v>
          </cell>
          <cell r="P450">
            <v>1.7718127295871175E-2</v>
          </cell>
          <cell r="Q450">
            <v>0.24556764015056232</v>
          </cell>
          <cell r="R450">
            <v>0.73662824725855569</v>
          </cell>
          <cell r="S450">
            <v>8.5985295010713162E-5</v>
          </cell>
        </row>
        <row r="451">
          <cell r="K451">
            <v>0</v>
          </cell>
          <cell r="P451">
            <v>0</v>
          </cell>
          <cell r="Q451">
            <v>0.34102564102564104</v>
          </cell>
          <cell r="R451">
            <v>2.564102564102564E-2</v>
          </cell>
          <cell r="S451">
            <v>0</v>
          </cell>
        </row>
        <row r="452">
          <cell r="K452">
            <v>289</v>
          </cell>
          <cell r="P452">
            <v>2.4384582634153886E-3</v>
          </cell>
          <cell r="Q452">
            <v>0.90177480919763353</v>
          </cell>
          <cell r="R452">
            <v>9.576028307231961E-2</v>
          </cell>
          <cell r="S452">
            <v>2.6449466631400709E-5</v>
          </cell>
        </row>
        <row r="453">
          <cell r="K453">
            <v>2827</v>
          </cell>
          <cell r="P453">
            <v>1.28644E-3</v>
          </cell>
          <cell r="Q453">
            <v>0.31076097714285716</v>
          </cell>
          <cell r="R453">
            <v>0.68788002285714289</v>
          </cell>
          <cell r="S453">
            <v>7.2559999999999996E-5</v>
          </cell>
        </row>
        <row r="454">
          <cell r="K454">
            <v>1</v>
          </cell>
          <cell r="P454">
            <v>9.5085519481996595E-4</v>
          </cell>
          <cell r="Q454">
            <v>0.54758813137315387</v>
          </cell>
          <cell r="R454">
            <v>0.20196258091212721</v>
          </cell>
          <cell r="S454">
            <v>0.11303048110164197</v>
          </cell>
        </row>
        <row r="455">
          <cell r="K455">
            <v>20</v>
          </cell>
          <cell r="P455">
            <v>6.211089618456434E-3</v>
          </cell>
          <cell r="Q455">
            <v>0.98500678327318769</v>
          </cell>
          <cell r="R455">
            <v>0.1586129409840206</v>
          </cell>
          <cell r="S455">
            <v>1.6918339219249381E-4</v>
          </cell>
        </row>
        <row r="456">
          <cell r="K456">
            <v>0</v>
          </cell>
          <cell r="P456">
            <v>0</v>
          </cell>
          <cell r="Q456">
            <v>0.9503061855670103</v>
          </cell>
          <cell r="R456">
            <v>5.6765979381443302E-2</v>
          </cell>
          <cell r="S456">
            <v>0</v>
          </cell>
        </row>
        <row r="457">
          <cell r="K457">
            <v>16164</v>
          </cell>
          <cell r="P457">
            <v>9.4812504347826093E-2</v>
          </cell>
          <cell r="Q457">
            <v>0.40513107826086958</v>
          </cell>
          <cell r="R457">
            <v>0.30761015652173912</v>
          </cell>
          <cell r="S457">
            <v>0.19244626086956521</v>
          </cell>
        </row>
        <row r="458">
          <cell r="K458">
            <v>18708</v>
          </cell>
          <cell r="P458">
            <v>0.12056232731231015</v>
          </cell>
          <cell r="Q458">
            <v>0.74760222427019796</v>
          </cell>
          <cell r="R458">
            <v>0.27520215829267858</v>
          </cell>
          <cell r="S458">
            <v>6.6332860624440234E-3</v>
          </cell>
        </row>
        <row r="459">
          <cell r="K459">
            <v>8393</v>
          </cell>
          <cell r="P459">
            <v>0.13538975057741184</v>
          </cell>
          <cell r="Q459">
            <v>1.0877674117453784</v>
          </cell>
          <cell r="R459">
            <v>0.12584238347877347</v>
          </cell>
          <cell r="S459">
            <v>3.9416306690246332E-3</v>
          </cell>
        </row>
        <row r="460">
          <cell r="K460">
            <v>7782</v>
          </cell>
          <cell r="P460">
            <v>0.1055669008695652</v>
          </cell>
          <cell r="Q460">
            <v>0.57626807652173906</v>
          </cell>
          <cell r="R460">
            <v>0.28857176347826086</v>
          </cell>
          <cell r="S460">
            <v>0.16002804173913043</v>
          </cell>
        </row>
        <row r="461">
          <cell r="K461">
            <v>4859</v>
          </cell>
          <cell r="P461">
            <v>6.189990042918455E-2</v>
          </cell>
          <cell r="Q461">
            <v>0.59253524234620891</v>
          </cell>
          <cell r="R461">
            <v>0.34119225865522174</v>
          </cell>
          <cell r="S461">
            <v>4.3725985693848354E-3</v>
          </cell>
        </row>
        <row r="462">
          <cell r="K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K463">
            <v>9372</v>
          </cell>
          <cell r="P463">
            <v>0.13741440893893783</v>
          </cell>
          <cell r="Q463">
            <v>0.57668200068671305</v>
          </cell>
          <cell r="R463">
            <v>0.26737908447076225</v>
          </cell>
          <cell r="S463">
            <v>1.7299031783209139E-2</v>
          </cell>
        </row>
        <row r="464">
          <cell r="K464">
            <v>8076</v>
          </cell>
          <cell r="P464">
            <v>0.1085082388643057</v>
          </cell>
          <cell r="Q464">
            <v>0.60516811563544293</v>
          </cell>
          <cell r="R464">
            <v>0.28248616306579283</v>
          </cell>
          <cell r="S464">
            <v>3.8374824344584967E-3</v>
          </cell>
        </row>
        <row r="465">
          <cell r="K465">
            <v>3762</v>
          </cell>
          <cell r="P465">
            <v>0.10257094938683313</v>
          </cell>
          <cell r="Q465">
            <v>0.69925371530564573</v>
          </cell>
          <cell r="R465">
            <v>2.3509721698243963E-2</v>
          </cell>
          <cell r="S465">
            <v>0.17466561360927718</v>
          </cell>
        </row>
        <row r="466">
          <cell r="K466">
            <v>5965</v>
          </cell>
          <cell r="P466">
            <v>0.1450352158086114</v>
          </cell>
          <cell r="Q466">
            <v>0.77910457999665683</v>
          </cell>
          <cell r="R466">
            <v>7.3797487753256605E-2</v>
          </cell>
          <cell r="S466">
            <v>2.0627164414751199E-3</v>
          </cell>
        </row>
        <row r="467">
          <cell r="K467">
            <v>7444</v>
          </cell>
          <cell r="P467">
            <v>9.6234015401607587E-2</v>
          </cell>
          <cell r="Q467">
            <v>0.505568266144928</v>
          </cell>
          <cell r="R467">
            <v>0.39317903631342166</v>
          </cell>
          <cell r="S467">
            <v>6.5138280017178448E-3</v>
          </cell>
        </row>
        <row r="468">
          <cell r="K468">
            <v>1</v>
          </cell>
          <cell r="P468">
            <v>6.8685985102315473E-5</v>
          </cell>
          <cell r="Q468">
            <v>0.38145919682098506</v>
          </cell>
          <cell r="R468">
            <v>0.61146401354243107</v>
          </cell>
          <cell r="S468">
            <v>0</v>
          </cell>
        </row>
        <row r="469">
          <cell r="K469">
            <v>82316</v>
          </cell>
          <cell r="P469">
            <v>0.14761923778803718</v>
          </cell>
          <cell r="Q469">
            <v>0.36980073890026977</v>
          </cell>
          <cell r="R469">
            <v>0.49911008601570284</v>
          </cell>
          <cell r="S469">
            <v>1.1836485959411495E-2</v>
          </cell>
        </row>
        <row r="470">
          <cell r="K470">
            <v>6528</v>
          </cell>
          <cell r="P470">
            <v>0.11072559344306214</v>
          </cell>
          <cell r="Q470">
            <v>0.6638166949944565</v>
          </cell>
          <cell r="R470">
            <v>0.3556375446483423</v>
          </cell>
          <cell r="S470">
            <v>1.5844453866414868E-2</v>
          </cell>
        </row>
        <row r="471">
          <cell r="K471">
            <v>19</v>
          </cell>
          <cell r="P471">
            <v>1.6061111807078804E-3</v>
          </cell>
          <cell r="Q471">
            <v>0.79753485728936213</v>
          </cell>
          <cell r="R471">
            <v>0.27233651054949654</v>
          </cell>
          <cell r="S471">
            <v>6.4900182210534618E-2</v>
          </cell>
        </row>
        <row r="472">
          <cell r="K472">
            <v>2</v>
          </cell>
          <cell r="P472">
            <v>5.0955449861606415E-3</v>
          </cell>
          <cell r="Q472">
            <v>1.0072587376393292</v>
          </cell>
          <cell r="R472">
            <v>0.11636587866728368</v>
          </cell>
          <cell r="S472">
            <v>5.0955449861606415E-3</v>
          </cell>
        </row>
        <row r="473">
          <cell r="K473">
            <v>1</v>
          </cell>
          <cell r="P473">
            <v>3.5071257896782414E-4</v>
          </cell>
          <cell r="Q473">
            <v>0.54959679552191776</v>
          </cell>
          <cell r="R473">
            <v>0.19200427064432224</v>
          </cell>
          <cell r="S473">
            <v>0.25649588688886898</v>
          </cell>
        </row>
        <row r="474">
          <cell r="K474">
            <v>2998</v>
          </cell>
          <cell r="P474">
            <v>1.1760795698924732E-2</v>
          </cell>
          <cell r="Q474">
            <v>0.2841796451612903</v>
          </cell>
          <cell r="R474">
            <v>0.19180716129032258</v>
          </cell>
          <cell r="S474">
            <v>0.51225239784946242</v>
          </cell>
        </row>
        <row r="475">
          <cell r="K475">
            <v>0</v>
          </cell>
          <cell r="P475">
            <v>0</v>
          </cell>
          <cell r="Q475">
            <v>0.17988482302011713</v>
          </cell>
          <cell r="R475">
            <v>0.41643386809269162</v>
          </cell>
          <cell r="S475">
            <v>0.40368130888719123</v>
          </cell>
        </row>
        <row r="476">
          <cell r="K476">
            <v>0</v>
          </cell>
          <cell r="P476">
            <v>5.031714285235075E-5</v>
          </cell>
          <cell r="Q476">
            <v>0.55581297941373209</v>
          </cell>
          <cell r="R476">
            <v>0.35680441009935199</v>
          </cell>
          <cell r="S476">
            <v>8.7332293344063588E-2</v>
          </cell>
        </row>
        <row r="477">
          <cell r="K477">
            <v>647</v>
          </cell>
          <cell r="P477">
            <v>1.8844146341463414E-3</v>
          </cell>
          <cell r="Q477">
            <v>0.61019204878048783</v>
          </cell>
          <cell r="R477">
            <v>0.38791826829268294</v>
          </cell>
          <cell r="S477">
            <v>5.2682926829268289E-6</v>
          </cell>
        </row>
        <row r="478">
          <cell r="K478">
            <v>1041</v>
          </cell>
          <cell r="P478">
            <v>1.1275109589041096E-2</v>
          </cell>
          <cell r="Q478">
            <v>0.81532327397260274</v>
          </cell>
          <cell r="R478">
            <v>0.17070578082191781</v>
          </cell>
          <cell r="S478">
            <v>2.6958356164383562E-3</v>
          </cell>
        </row>
        <row r="479">
          <cell r="K479">
            <v>8373110</v>
          </cell>
          <cell r="P479">
            <v>1</v>
          </cell>
          <cell r="Q479">
            <v>0</v>
          </cell>
          <cell r="R479">
            <v>0</v>
          </cell>
          <cell r="S479">
            <v>0</v>
          </cell>
        </row>
        <row r="480">
          <cell r="K480">
            <v>258</v>
          </cell>
          <cell r="P480">
            <v>0.82197426036188403</v>
          </cell>
          <cell r="Q480">
            <v>0.14994034242290852</v>
          </cell>
          <cell r="R480">
            <v>0</v>
          </cell>
          <cell r="S480">
            <v>2.8085397215207468E-2</v>
          </cell>
        </row>
        <row r="481">
          <cell r="K481">
            <v>16</v>
          </cell>
          <cell r="P481">
            <v>6.7936842105263161E-5</v>
          </cell>
          <cell r="Q481">
            <v>0</v>
          </cell>
          <cell r="R481">
            <v>0</v>
          </cell>
          <cell r="S481">
            <v>0.3946689052631579</v>
          </cell>
        </row>
        <row r="482">
          <cell r="K482">
            <v>0</v>
          </cell>
          <cell r="P482">
            <v>1.0206333333333333E-3</v>
          </cell>
          <cell r="Q482">
            <v>9.5917377777777771E-2</v>
          </cell>
          <cell r="R482">
            <v>0.28559843333333335</v>
          </cell>
          <cell r="S482">
            <v>3.7037037037037038E-3</v>
          </cell>
        </row>
        <row r="483">
          <cell r="K483">
            <v>151</v>
          </cell>
          <cell r="P483">
            <v>1.3310617283950616E-3</v>
          </cell>
          <cell r="Q483">
            <v>0.63660641975308629</v>
          </cell>
          <cell r="R483">
            <v>0.36206251851851845</v>
          </cell>
          <cell r="S483">
            <v>0</v>
          </cell>
        </row>
        <row r="484">
          <cell r="K484">
            <v>379</v>
          </cell>
          <cell r="P484">
            <v>2.0494446556020103E-3</v>
          </cell>
          <cell r="Q484">
            <v>0.51389472528400693</v>
          </cell>
          <cell r="R484">
            <v>0.42685947886312764</v>
          </cell>
          <cell r="S484">
            <v>5.71963511972634E-2</v>
          </cell>
        </row>
        <row r="485">
          <cell r="K485">
            <v>92</v>
          </cell>
          <cell r="P485">
            <v>0.31307799999999997</v>
          </cell>
          <cell r="Q485">
            <v>0.320932</v>
          </cell>
          <cell r="R485">
            <v>1.054E-3</v>
          </cell>
          <cell r="S485">
            <v>0.36493599999999998</v>
          </cell>
        </row>
        <row r="486">
          <cell r="K486">
            <v>109</v>
          </cell>
          <cell r="P486">
            <v>0.36853970934305785</v>
          </cell>
          <cell r="Q486">
            <v>0.54437099179046833</v>
          </cell>
          <cell r="R486">
            <v>0</v>
          </cell>
          <cell r="S486">
            <v>8.7089298866473847E-2</v>
          </cell>
        </row>
        <row r="487">
          <cell r="K487">
            <v>47</v>
          </cell>
          <cell r="P487">
            <v>0.16275921696716694</v>
          </cell>
          <cell r="Q487">
            <v>0.83537184452876989</v>
          </cell>
          <cell r="R487">
            <v>0</v>
          </cell>
          <cell r="S487">
            <v>1.8689385040631945E-3</v>
          </cell>
        </row>
        <row r="488">
          <cell r="K488">
            <v>132</v>
          </cell>
          <cell r="P488">
            <v>2.6287702573879884E-3</v>
          </cell>
          <cell r="Q488">
            <v>0.18319521448999046</v>
          </cell>
          <cell r="R488">
            <v>7.0974318398474734E-2</v>
          </cell>
          <cell r="S488">
            <v>0.74320169685414683</v>
          </cell>
        </row>
        <row r="489">
          <cell r="K489">
            <v>3</v>
          </cell>
          <cell r="P489">
            <v>4.2846638655462182E-4</v>
          </cell>
          <cell r="Q489">
            <v>0.58890892857142862</v>
          </cell>
          <cell r="R489">
            <v>0.41066260504201679</v>
          </cell>
          <cell r="S489">
            <v>0</v>
          </cell>
        </row>
        <row r="490">
          <cell r="K490">
            <v>0</v>
          </cell>
          <cell r="P490">
            <v>0</v>
          </cell>
          <cell r="Q490">
            <v>0.14343439999999999</v>
          </cell>
          <cell r="R490">
            <v>5.1387106666666668E-2</v>
          </cell>
          <cell r="S490">
            <v>0.80517849333333336</v>
          </cell>
        </row>
        <row r="491">
          <cell r="K491">
            <v>32573</v>
          </cell>
          <cell r="P491">
            <v>9.425949173836011E-2</v>
          </cell>
          <cell r="Q491">
            <v>0.5553667690720594</v>
          </cell>
          <cell r="R491">
            <v>0.32510708436983959</v>
          </cell>
          <cell r="S491">
            <v>1.3069771999440906E-2</v>
          </cell>
        </row>
        <row r="492">
          <cell r="K492">
            <v>101</v>
          </cell>
          <cell r="P492">
            <v>2.3772727272727274E-3</v>
          </cell>
          <cell r="Q492">
            <v>0.83216015909090912</v>
          </cell>
          <cell r="R492">
            <v>7.6363636363636364E-6</v>
          </cell>
          <cell r="S492">
            <v>0</v>
          </cell>
        </row>
        <row r="493">
          <cell r="K493">
            <v>800</v>
          </cell>
          <cell r="P493">
            <v>9.4403632019115901E-3</v>
          </cell>
          <cell r="Q493">
            <v>0.47047118757467149</v>
          </cell>
          <cell r="R493">
            <v>0.51550623655913974</v>
          </cell>
          <cell r="S493">
            <v>4.5822126642771806E-3</v>
          </cell>
        </row>
        <row r="494">
          <cell r="K494">
            <v>9476</v>
          </cell>
          <cell r="P494">
            <v>5.8085305833333337E-2</v>
          </cell>
          <cell r="Q494">
            <v>0.57171718666666671</v>
          </cell>
          <cell r="R494">
            <v>0.1489560375</v>
          </cell>
          <cell r="S494">
            <v>0.22124147</v>
          </cell>
        </row>
        <row r="495">
          <cell r="K495">
            <v>191</v>
          </cell>
          <cell r="P495">
            <v>5.0047510844866759E-4</v>
          </cell>
          <cell r="Q495">
            <v>0.41163123321627765</v>
          </cell>
          <cell r="R495">
            <v>0.58673538525098123</v>
          </cell>
          <cell r="S495">
            <v>1.1329064242925015E-3</v>
          </cell>
        </row>
        <row r="496">
          <cell r="K496">
            <v>0</v>
          </cell>
          <cell r="P496">
            <v>0</v>
          </cell>
          <cell r="Q496">
            <v>8.7394231823664875E-2</v>
          </cell>
          <cell r="R496">
            <v>0</v>
          </cell>
          <cell r="S496">
            <v>0.46944980260993524</v>
          </cell>
        </row>
        <row r="497">
          <cell r="K497">
            <v>0</v>
          </cell>
          <cell r="P497">
            <v>1.6137073863636364E-4</v>
          </cell>
          <cell r="Q497">
            <v>0.50204392755681815</v>
          </cell>
          <cell r="R497">
            <v>0.48359015625000001</v>
          </cell>
          <cell r="S497">
            <v>0</v>
          </cell>
        </row>
        <row r="498">
          <cell r="K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</row>
        <row r="499">
          <cell r="K499">
            <v>0</v>
          </cell>
          <cell r="P499">
            <v>5.1618897637795277E-4</v>
          </cell>
          <cell r="Q499">
            <v>0.45671154724409446</v>
          </cell>
          <cell r="R499">
            <v>0.49669043307086613</v>
          </cell>
          <cell r="S499">
            <v>0</v>
          </cell>
        </row>
        <row r="500">
          <cell r="K500">
            <v>116</v>
          </cell>
          <cell r="P500">
            <v>0.34101653480682759</v>
          </cell>
          <cell r="Q500">
            <v>0.22346492799529727</v>
          </cell>
          <cell r="R500">
            <v>0.43540081929615104</v>
          </cell>
          <cell r="S500">
            <v>9.2414739476617242E-5</v>
          </cell>
        </row>
        <row r="501">
          <cell r="K501">
            <v>26</v>
          </cell>
          <cell r="P501">
            <v>4.5724404932265939E-4</v>
          </cell>
          <cell r="Q501">
            <v>9.2077843000420694E-3</v>
          </cell>
          <cell r="R501">
            <v>2.5077274864072609E-2</v>
          </cell>
          <cell r="S501">
            <v>0.9652576967865627</v>
          </cell>
        </row>
        <row r="502">
          <cell r="K502">
            <v>18</v>
          </cell>
          <cell r="P502">
            <v>2.8294524149223995E-3</v>
          </cell>
          <cell r="Q502">
            <v>0.53802120989127145</v>
          </cell>
          <cell r="R502">
            <v>0.34267409537942034</v>
          </cell>
          <cell r="S502">
            <v>0.11647524231438583</v>
          </cell>
        </row>
        <row r="503">
          <cell r="K503">
            <v>0</v>
          </cell>
          <cell r="P503">
            <v>8.2791826773193468E-4</v>
          </cell>
          <cell r="Q503">
            <v>0.87805121560314303</v>
          </cell>
          <cell r="R503">
            <v>0.12112086612912505</v>
          </cell>
          <cell r="S503">
            <v>0</v>
          </cell>
        </row>
        <row r="504">
          <cell r="K504">
            <v>83</v>
          </cell>
          <cell r="P504">
            <v>1.2096937142857143E-2</v>
          </cell>
          <cell r="Q504">
            <v>0.31990948571428574</v>
          </cell>
          <cell r="R504">
            <v>0.65050881142857142</v>
          </cell>
          <cell r="S504">
            <v>1.7484765714285713E-2</v>
          </cell>
        </row>
        <row r="505">
          <cell r="K505">
            <v>705</v>
          </cell>
          <cell r="P505">
            <v>1.7836404071345617E-2</v>
          </cell>
          <cell r="Q505">
            <v>0.74633372698533496</v>
          </cell>
          <cell r="R505">
            <v>0.23578803694315217</v>
          </cell>
          <cell r="S505">
            <v>4.1832000167328E-5</v>
          </cell>
        </row>
        <row r="506">
          <cell r="K506">
            <v>329</v>
          </cell>
          <cell r="P506">
            <v>2.1279484423211261E-3</v>
          </cell>
          <cell r="Q506">
            <v>0.41592212017318342</v>
          </cell>
          <cell r="R506">
            <v>0.57999444725912053</v>
          </cell>
          <cell r="S506">
            <v>1.955484125374894E-3</v>
          </cell>
        </row>
        <row r="507">
          <cell r="K507">
            <v>828</v>
          </cell>
          <cell r="P507">
            <v>1.8056861574456294E-3</v>
          </cell>
          <cell r="Q507">
            <v>0.3301534561673497</v>
          </cell>
          <cell r="R507">
            <v>0.45902915635589109</v>
          </cell>
          <cell r="S507">
            <v>0.20901170131931357</v>
          </cell>
        </row>
        <row r="508">
          <cell r="K508">
            <v>514</v>
          </cell>
          <cell r="P508">
            <v>4.0331489361702128E-3</v>
          </cell>
          <cell r="Q508">
            <v>0.63431285106382984</v>
          </cell>
          <cell r="R508">
            <v>0.35717612765957446</v>
          </cell>
          <cell r="S508">
            <v>4.4778723404255323E-3</v>
          </cell>
        </row>
        <row r="509">
          <cell r="K509">
            <v>1</v>
          </cell>
          <cell r="P509">
            <v>2.4537692307692307E-3</v>
          </cell>
          <cell r="Q509">
            <v>0.58281086923076919</v>
          </cell>
          <cell r="R509">
            <v>0.22242766923076923</v>
          </cell>
          <cell r="S509">
            <v>0.19230769230769232</v>
          </cell>
        </row>
        <row r="510">
          <cell r="K510">
            <v>406</v>
          </cell>
          <cell r="P510">
            <v>2.3110875209433794E-3</v>
          </cell>
          <cell r="Q510">
            <v>0.63745205724736853</v>
          </cell>
          <cell r="R510">
            <v>0.35017959507334984</v>
          </cell>
          <cell r="S510">
            <v>1.0057260158338343E-2</v>
          </cell>
        </row>
        <row r="511">
          <cell r="K511">
            <v>503</v>
          </cell>
          <cell r="P511">
            <v>6.5553033333333333E-3</v>
          </cell>
          <cell r="Q511">
            <v>0.25606684666666668</v>
          </cell>
          <cell r="R511">
            <v>0.40318886333333331</v>
          </cell>
          <cell r="S511">
            <v>0.33418898666666669</v>
          </cell>
        </row>
        <row r="512">
          <cell r="K512">
            <v>5</v>
          </cell>
          <cell r="P512">
            <v>1.4167400150523642E-3</v>
          </cell>
          <cell r="Q512">
            <v>0.57070897038278157</v>
          </cell>
          <cell r="R512">
            <v>0.41790552991366242</v>
          </cell>
          <cell r="S512">
            <v>9.968759688503687E-3</v>
          </cell>
        </row>
        <row r="513">
          <cell r="K513">
            <v>3838</v>
          </cell>
          <cell r="P513">
            <v>1.6074064540794814E-2</v>
          </cell>
          <cell r="Q513">
            <v>0.55441000468413892</v>
          </cell>
          <cell r="R513">
            <v>0.44362849946860305</v>
          </cell>
          <cell r="S513">
            <v>1.2477414323143528E-3</v>
          </cell>
        </row>
        <row r="514">
          <cell r="K514">
            <v>56</v>
          </cell>
          <cell r="P514">
            <v>3.6344533333333333E-3</v>
          </cell>
          <cell r="Q514">
            <v>0.84315152000000004</v>
          </cell>
          <cell r="R514">
            <v>0.14738138666666667</v>
          </cell>
          <cell r="S514">
            <v>5.83264E-3</v>
          </cell>
        </row>
        <row r="515">
          <cell r="K515">
            <v>1700</v>
          </cell>
          <cell r="P515">
            <v>1.6066568445038946E-2</v>
          </cell>
          <cell r="Q515">
            <v>0.6998334178136012</v>
          </cell>
          <cell r="R515">
            <v>0.15219737382073723</v>
          </cell>
          <cell r="S515">
            <v>0.13190263992062265</v>
          </cell>
        </row>
        <row r="516">
          <cell r="K516">
            <v>0</v>
          </cell>
          <cell r="P516">
            <v>0</v>
          </cell>
          <cell r="Q516">
            <v>0.20620291875553085</v>
          </cell>
          <cell r="R516">
            <v>8.0505969356726825E-2</v>
          </cell>
          <cell r="S516">
            <v>4.6624445221075658E-2</v>
          </cell>
        </row>
        <row r="517">
          <cell r="K517">
            <v>443</v>
          </cell>
          <cell r="P517">
            <v>5.0920890312161722E-3</v>
          </cell>
          <cell r="Q517">
            <v>0.19267897935916165</v>
          </cell>
          <cell r="R517">
            <v>2.0831038082251487E-2</v>
          </cell>
          <cell r="S517">
            <v>0.78139789352737066</v>
          </cell>
        </row>
        <row r="518">
          <cell r="K518">
            <v>461</v>
          </cell>
          <cell r="P518">
            <v>2.7580889587527145E-3</v>
          </cell>
          <cell r="Q518">
            <v>0.68327561311699048</v>
          </cell>
          <cell r="R518">
            <v>0.3138984640889067</v>
          </cell>
          <cell r="S518">
            <v>6.7833835350097037E-5</v>
          </cell>
        </row>
        <row r="519">
          <cell r="K519">
            <v>642</v>
          </cell>
          <cell r="P519">
            <v>6.1464269895510739E-3</v>
          </cell>
          <cell r="Q519">
            <v>3.0870230947520607E-3</v>
          </cell>
          <cell r="R519">
            <v>5.0588390913999734E-3</v>
          </cell>
          <cell r="S519">
            <v>0.98570771082429687</v>
          </cell>
        </row>
        <row r="520">
          <cell r="K520">
            <v>237</v>
          </cell>
          <cell r="P520">
            <v>1.8171179999999999E-2</v>
          </cell>
          <cell r="Q520">
            <v>0.30932751200000003</v>
          </cell>
          <cell r="R520">
            <v>0.47062782400000008</v>
          </cell>
          <cell r="S520">
            <v>7.0200880000000007E-3</v>
          </cell>
        </row>
        <row r="521">
          <cell r="K521">
            <v>86</v>
          </cell>
          <cell r="P521">
            <v>1.0121902208238574E-2</v>
          </cell>
          <cell r="Q521">
            <v>0.39021079502141981</v>
          </cell>
          <cell r="R521">
            <v>0.22598613156494743</v>
          </cell>
          <cell r="S521">
            <v>0.37368117120539407</v>
          </cell>
        </row>
        <row r="522">
          <cell r="K522">
            <v>132</v>
          </cell>
          <cell r="P522">
            <v>9.4103690036900361E-3</v>
          </cell>
          <cell r="Q522">
            <v>0.57320147601476013</v>
          </cell>
          <cell r="R522">
            <v>0.22573583025830257</v>
          </cell>
          <cell r="S522">
            <v>0.19165232472324722</v>
          </cell>
        </row>
        <row r="523">
          <cell r="K523">
            <v>101</v>
          </cell>
          <cell r="P523">
            <v>1.5108479999999999E-2</v>
          </cell>
          <cell r="Q523">
            <v>0.93813235200000011</v>
          </cell>
          <cell r="R523">
            <v>4.2719488E-2</v>
          </cell>
          <cell r="S523">
            <v>4.0396799999999995E-3</v>
          </cell>
        </row>
        <row r="524">
          <cell r="K524">
            <v>147</v>
          </cell>
          <cell r="P524">
            <v>6.3961545454545451E-2</v>
          </cell>
          <cell r="Q524">
            <v>0.45772170909090909</v>
          </cell>
          <cell r="R524">
            <v>0.4549614818181818</v>
          </cell>
          <cell r="S524">
            <v>2.3355263636363637E-2</v>
          </cell>
        </row>
        <row r="525">
          <cell r="K525">
            <v>1</v>
          </cell>
          <cell r="P525">
            <v>3.8992346352646045E-3</v>
          </cell>
          <cell r="Q525">
            <v>0.59505323293600687</v>
          </cell>
          <cell r="R525">
            <v>0.31721839266893975</v>
          </cell>
          <cell r="S525">
            <v>8.3829139759788757E-2</v>
          </cell>
        </row>
        <row r="526">
          <cell r="K526">
            <v>265</v>
          </cell>
          <cell r="P526">
            <v>1.4569775145697751E-2</v>
          </cell>
          <cell r="Q526">
            <v>0.5325268903252689</v>
          </cell>
          <cell r="R526">
            <v>5.1685040516850404E-2</v>
          </cell>
          <cell r="S526">
            <v>0.40121829401218295</v>
          </cell>
        </row>
        <row r="527">
          <cell r="K527">
            <v>14</v>
          </cell>
          <cell r="P527">
            <v>1.7473118279569893E-3</v>
          </cell>
          <cell r="Q527">
            <v>0.58973763440860216</v>
          </cell>
          <cell r="R527">
            <v>0.40851505376344088</v>
          </cell>
          <cell r="S527">
            <v>0</v>
          </cell>
        </row>
        <row r="528">
          <cell r="K528">
            <v>17572</v>
          </cell>
          <cell r="P528">
            <v>9.9813598221980313E-2</v>
          </cell>
          <cell r="Q528">
            <v>0.22569861659182655</v>
          </cell>
          <cell r="R528">
            <v>0.19636581847870457</v>
          </cell>
          <cell r="S528">
            <v>0.47000520705764959</v>
          </cell>
        </row>
        <row r="529">
          <cell r="K529">
            <v>65</v>
          </cell>
          <cell r="P529">
            <v>9.4429999822943757E-5</v>
          </cell>
          <cell r="Q529">
            <v>0.10784016229779969</v>
          </cell>
          <cell r="R529">
            <v>6.8098121747316026E-2</v>
          </cell>
          <cell r="S529">
            <v>0.8239672859550613</v>
          </cell>
        </row>
        <row r="530">
          <cell r="K530">
            <v>5479</v>
          </cell>
          <cell r="P530">
            <v>7.8354758790973533E-2</v>
          </cell>
          <cell r="Q530">
            <v>0.63057635221312791</v>
          </cell>
          <cell r="R530">
            <v>0.28348217832501527</v>
          </cell>
          <cell r="S530">
            <v>7.5867106708833567E-3</v>
          </cell>
        </row>
        <row r="531">
          <cell r="K531">
            <v>68</v>
          </cell>
          <cell r="P531">
            <v>1.4611610261701714E-3</v>
          </cell>
          <cell r="Q531">
            <v>2.7329912574752306E-2</v>
          </cell>
          <cell r="R531">
            <v>1.9315225315346208E-5</v>
          </cell>
          <cell r="S531">
            <v>0.97118961117376212</v>
          </cell>
        </row>
        <row r="532">
          <cell r="K532">
            <v>70</v>
          </cell>
          <cell r="P532">
            <v>2.9066524225670617E-3</v>
          </cell>
          <cell r="Q532">
            <v>0.23596677651806142</v>
          </cell>
          <cell r="R532">
            <v>0.12669325140243815</v>
          </cell>
          <cell r="S532">
            <v>0.63443331965693328</v>
          </cell>
        </row>
        <row r="533">
          <cell r="K533">
            <v>132</v>
          </cell>
          <cell r="P533">
            <v>4.3041732827120677E-2</v>
          </cell>
          <cell r="Q533">
            <v>0.75640486971260179</v>
          </cell>
          <cell r="R533">
            <v>0.17155148765605788</v>
          </cell>
          <cell r="S533">
            <v>2.9001909804219683E-2</v>
          </cell>
        </row>
        <row r="534">
          <cell r="K534">
            <v>50</v>
          </cell>
          <cell r="P534">
            <v>1.0424279791514404E-2</v>
          </cell>
          <cell r="Q534">
            <v>0.72896752542064946</v>
          </cell>
          <cell r="R534">
            <v>0.2605837147883257</v>
          </cell>
          <cell r="S534">
            <v>2.4479999510400011E-5</v>
          </cell>
        </row>
        <row r="535">
          <cell r="K535">
            <v>37</v>
          </cell>
          <cell r="P535">
            <v>0.10071691572856808</v>
          </cell>
          <cell r="Q535">
            <v>0.59838463891212146</v>
          </cell>
          <cell r="R535">
            <v>0.25351397877402537</v>
          </cell>
          <cell r="S535">
            <v>4.7384466585285091E-2</v>
          </cell>
        </row>
        <row r="536">
          <cell r="K536">
            <v>56</v>
          </cell>
          <cell r="P536">
            <v>4.5057574605746218E-3</v>
          </cell>
          <cell r="Q536">
            <v>0.75745873462223612</v>
          </cell>
          <cell r="R536">
            <v>0.38797617223020847</v>
          </cell>
          <cell r="S536">
            <v>5.9325624480900786E-5</v>
          </cell>
        </row>
        <row r="537">
          <cell r="K537">
            <v>2719</v>
          </cell>
          <cell r="P537">
            <v>0.10004135172413793</v>
          </cell>
          <cell r="Q537">
            <v>6.4747669517241382E-2</v>
          </cell>
          <cell r="R537">
            <v>1.6603673931034481E-2</v>
          </cell>
          <cell r="S537">
            <v>0.81860730482758626</v>
          </cell>
        </row>
        <row r="538">
          <cell r="K538">
            <v>4730</v>
          </cell>
          <cell r="P538">
            <v>6.87316347826087E-2</v>
          </cell>
          <cell r="Q538">
            <v>0.50568587478260874</v>
          </cell>
          <cell r="R538">
            <v>0.18222044173913043</v>
          </cell>
          <cell r="S538">
            <v>0.24336204869565217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se"/>
      <sheetName val="RESUMO (Uso Interno)"/>
      <sheetName val="SITE (Imprensa)_PT (2)"/>
      <sheetName val="SITE (Imprensa)_ING"/>
      <sheetName val="Listagem (Mensal)"/>
      <sheetName val="Captações (Mensal)"/>
      <sheetName val="Relatório"/>
      <sheetName val="Tabela Dinâmica"/>
      <sheetName val="Segmentos (Mensal) (Vs. 2)"/>
      <sheetName val="Segmentos (Mensal) (Vs. 1)"/>
    </sheetNames>
    <sheetDataSet>
      <sheetData sheetId="0">
        <row r="4">
          <cell r="A4" t="str">
            <v>CCR RODOVIAS</v>
          </cell>
          <cell r="C4" t="str">
            <v>NM</v>
          </cell>
          <cell r="F4" t="str">
            <v>FOLLOW-ON</v>
          </cell>
          <cell r="G4" t="str">
            <v>ICVM 400</v>
          </cell>
          <cell r="J4">
            <v>38104</v>
          </cell>
          <cell r="M4" t="str">
            <v>UBS</v>
          </cell>
          <cell r="W4">
            <v>23.5</v>
          </cell>
          <cell r="X4">
            <v>38103</v>
          </cell>
          <cell r="AO4">
            <v>375000004.5</v>
          </cell>
          <cell r="AP4">
            <v>0</v>
          </cell>
          <cell r="AQ4">
            <v>375000004.5</v>
          </cell>
          <cell r="BL4">
            <v>1010</v>
          </cell>
          <cell r="DZ4">
            <v>1514</v>
          </cell>
          <cell r="ED4">
            <v>120003841.56293002</v>
          </cell>
          <cell r="EF4">
            <v>6.8671824509271437E-2</v>
          </cell>
          <cell r="EH4">
            <v>0.17572134189134389</v>
          </cell>
          <cell r="EJ4">
            <v>0.74824324968774769</v>
          </cell>
          <cell r="EL4">
            <v>7.3635839116369933E-3</v>
          </cell>
          <cell r="EQ4" t="str">
            <v>Exploração de Rodovias</v>
          </cell>
        </row>
        <row r="5">
          <cell r="A5" t="str">
            <v>NATURA</v>
          </cell>
          <cell r="C5" t="str">
            <v>NM</v>
          </cell>
          <cell r="F5" t="str">
            <v>IPO</v>
          </cell>
          <cell r="G5" t="str">
            <v>ICVM 400</v>
          </cell>
          <cell r="J5">
            <v>38133</v>
          </cell>
          <cell r="M5" t="str">
            <v>UBS</v>
          </cell>
          <cell r="W5">
            <v>36.5</v>
          </cell>
          <cell r="X5">
            <v>38131</v>
          </cell>
          <cell r="AO5">
            <v>0</v>
          </cell>
          <cell r="AP5">
            <v>768120636.5</v>
          </cell>
          <cell r="AQ5">
            <v>768120636.5</v>
          </cell>
          <cell r="BL5">
            <v>4376</v>
          </cell>
          <cell r="DZ5">
            <v>5460</v>
          </cell>
          <cell r="ED5">
            <v>243230093.88853705</v>
          </cell>
          <cell r="EF5">
            <v>0.14086611445961328</v>
          </cell>
          <cell r="EH5">
            <v>0.15132485833167691</v>
          </cell>
          <cell r="EJ5">
            <v>0.67230899088075735</v>
          </cell>
          <cell r="EL5">
            <v>3.5500036327952504E-2</v>
          </cell>
          <cell r="EQ5" t="str">
            <v>Prod. de Uso Pessoal</v>
          </cell>
        </row>
        <row r="6">
          <cell r="A6" t="str">
            <v>GOL</v>
          </cell>
          <cell r="C6" t="str">
            <v>N2</v>
          </cell>
          <cell r="F6" t="str">
            <v>IPO</v>
          </cell>
          <cell r="G6" t="str">
            <v>ICVM 400</v>
          </cell>
          <cell r="J6">
            <v>38162</v>
          </cell>
          <cell r="M6" t="str">
            <v>Morgan Stanley</v>
          </cell>
          <cell r="W6">
            <v>26.57</v>
          </cell>
          <cell r="X6">
            <v>38161</v>
          </cell>
          <cell r="AO6">
            <v>498187500</v>
          </cell>
          <cell r="AP6">
            <v>379951000</v>
          </cell>
          <cell r="AQ6">
            <v>878138500</v>
          </cell>
          <cell r="BL6">
            <v>11274</v>
          </cell>
          <cell r="DZ6">
            <v>12380</v>
          </cell>
          <cell r="ED6">
            <v>282996616.17789233</v>
          </cell>
          <cell r="EF6">
            <v>0.10416096822995462</v>
          </cell>
          <cell r="EH6">
            <v>0.13028732223903178</v>
          </cell>
          <cell r="EJ6">
            <v>0.75367177004538577</v>
          </cell>
          <cell r="EL6">
            <v>1.1879939485627837E-2</v>
          </cell>
          <cell r="EQ6" t="str">
            <v>Transporte Aéreo</v>
          </cell>
        </row>
        <row r="7">
          <cell r="A7" t="str">
            <v>ALL AMER LAT</v>
          </cell>
          <cell r="C7" t="str">
            <v>N2</v>
          </cell>
          <cell r="F7" t="str">
            <v>IPO</v>
          </cell>
          <cell r="G7" t="str">
            <v>ICVM 400</v>
          </cell>
          <cell r="J7">
            <v>38163</v>
          </cell>
          <cell r="M7" t="str">
            <v>Pactual</v>
          </cell>
          <cell r="W7">
            <v>46.5</v>
          </cell>
          <cell r="X7">
            <v>38161</v>
          </cell>
          <cell r="AO7">
            <v>267375000</v>
          </cell>
          <cell r="AP7">
            <v>320850000</v>
          </cell>
          <cell r="AQ7">
            <v>588225000</v>
          </cell>
          <cell r="BL7">
            <v>3275</v>
          </cell>
          <cell r="DZ7">
            <v>4198</v>
          </cell>
          <cell r="ED7">
            <v>189164201.18343195</v>
          </cell>
          <cell r="EF7">
            <v>8.1711383399209483E-2</v>
          </cell>
          <cell r="EH7">
            <v>0.19502276679841898</v>
          </cell>
          <cell r="EJ7">
            <v>0.70870671936758889</v>
          </cell>
          <cell r="EL7">
            <v>1.4559130434782609E-2</v>
          </cell>
          <cell r="EQ7" t="str">
            <v>Transporte Ferroviário</v>
          </cell>
        </row>
        <row r="8">
          <cell r="A8" t="str">
            <v>WEG</v>
          </cell>
          <cell r="C8" t="str">
            <v>N1</v>
          </cell>
          <cell r="F8" t="str">
            <v>FOLLOW-ON</v>
          </cell>
          <cell r="G8" t="str">
            <v>ICVM 400</v>
          </cell>
          <cell r="J8">
            <v>38236</v>
          </cell>
          <cell r="M8" t="str">
            <v>Bradesco BBI</v>
          </cell>
          <cell r="W8">
            <v>7.2</v>
          </cell>
          <cell r="X8">
            <v>38233</v>
          </cell>
          <cell r="AO8">
            <v>0</v>
          </cell>
          <cell r="AP8">
            <v>319384800</v>
          </cell>
          <cell r="AQ8">
            <v>319384800</v>
          </cell>
          <cell r="BL8">
            <v>5130</v>
          </cell>
          <cell r="DZ8">
            <v>5708</v>
          </cell>
          <cell r="ED8">
            <v>109596046.94255713</v>
          </cell>
          <cell r="EF8">
            <v>0.30075378164521294</v>
          </cell>
          <cell r="EH8">
            <v>0.23810974097702833</v>
          </cell>
          <cell r="EJ8">
            <v>0.40659325052413264</v>
          </cell>
          <cell r="EL8">
            <v>5.4543226853626101E-2</v>
          </cell>
          <cell r="EQ8" t="str">
            <v>Motores, Compressores e Outros</v>
          </cell>
        </row>
        <row r="9">
          <cell r="A9" t="str">
            <v>BRASKEM</v>
          </cell>
          <cell r="C9" t="str">
            <v>N1</v>
          </cell>
          <cell r="F9" t="str">
            <v>FOLLOW-ON</v>
          </cell>
          <cell r="G9" t="str">
            <v>ICVM 400</v>
          </cell>
          <cell r="J9">
            <v>38254</v>
          </cell>
          <cell r="M9" t="str">
            <v>Unibanco</v>
          </cell>
          <cell r="W9">
            <v>0.09</v>
          </cell>
          <cell r="X9">
            <v>38252</v>
          </cell>
          <cell r="AO9">
            <v>1210950000</v>
          </cell>
          <cell r="AP9">
            <v>0</v>
          </cell>
          <cell r="AQ9">
            <v>1210950000</v>
          </cell>
          <cell r="BL9">
            <v>2287</v>
          </cell>
          <cell r="DZ9">
            <v>2737</v>
          </cell>
          <cell r="ED9">
            <v>421419871.23716724</v>
          </cell>
          <cell r="EF9">
            <v>5.2678683013820775E-2</v>
          </cell>
          <cell r="EH9">
            <v>0.20504084499925693</v>
          </cell>
          <cell r="EJ9">
            <v>0.73642744776341207</v>
          </cell>
          <cell r="EL9">
            <v>5.8530242235101801E-3</v>
          </cell>
          <cell r="EQ9" t="str">
            <v>Petroquímicos</v>
          </cell>
        </row>
        <row r="10">
          <cell r="A10" t="str">
            <v>CPFL ENERGIA</v>
          </cell>
          <cell r="C10" t="str">
            <v>NM</v>
          </cell>
          <cell r="F10" t="str">
            <v>IPO</v>
          </cell>
          <cell r="G10" t="str">
            <v>ICVM 400</v>
          </cell>
          <cell r="J10">
            <v>38259</v>
          </cell>
          <cell r="M10" t="str">
            <v>Merrill Lynch</v>
          </cell>
          <cell r="W10">
            <v>17.22</v>
          </cell>
          <cell r="X10">
            <v>38258</v>
          </cell>
          <cell r="AO10">
            <v>684649515.05999994</v>
          </cell>
          <cell r="AP10">
            <v>136312659</v>
          </cell>
          <cell r="AQ10">
            <v>820962174.05999994</v>
          </cell>
          <cell r="BL10">
            <v>2661</v>
          </cell>
          <cell r="DZ10">
            <v>3271</v>
          </cell>
          <cell r="ED10">
            <v>287029639.20704848</v>
          </cell>
          <cell r="EF10">
            <v>7.2085297337554172E-2</v>
          </cell>
          <cell r="EH10">
            <v>0.22446591051652037</v>
          </cell>
          <cell r="EJ10">
            <v>0.69388879768091083</v>
          </cell>
          <cell r="EL10">
            <v>9.5599944650146575E-3</v>
          </cell>
          <cell r="EQ10" t="str">
            <v>Energia Elétrica</v>
          </cell>
        </row>
        <row r="11">
          <cell r="A11" t="str">
            <v>GRENDENE</v>
          </cell>
          <cell r="C11" t="str">
            <v>NM</v>
          </cell>
          <cell r="F11" t="str">
            <v>IPO</v>
          </cell>
          <cell r="G11" t="str">
            <v>ICVM 400</v>
          </cell>
          <cell r="J11">
            <v>38289</v>
          </cell>
          <cell r="M11" t="str">
            <v>Pactual</v>
          </cell>
          <cell r="W11">
            <v>31</v>
          </cell>
          <cell r="X11">
            <v>38287</v>
          </cell>
          <cell r="AO11">
            <v>0</v>
          </cell>
          <cell r="AP11">
            <v>616900000</v>
          </cell>
          <cell r="AQ11">
            <v>616900000</v>
          </cell>
          <cell r="BL11">
            <v>7745</v>
          </cell>
          <cell r="DZ11">
            <v>8998</v>
          </cell>
          <cell r="ED11">
            <v>215963591.80815682</v>
          </cell>
          <cell r="EF11">
            <v>0.16245688442211056</v>
          </cell>
          <cell r="EH11">
            <v>0.18904427135678392</v>
          </cell>
          <cell r="EJ11">
            <v>0.63814226130653262</v>
          </cell>
          <cell r="EL11">
            <v>1.0356582914572865E-2</v>
          </cell>
          <cell r="EQ11" t="str">
            <v>Calçados</v>
          </cell>
        </row>
        <row r="12">
          <cell r="A12" t="str">
            <v>SABESP</v>
          </cell>
          <cell r="C12" t="str">
            <v>NM</v>
          </cell>
          <cell r="F12" t="str">
            <v>FOLLOW-ON</v>
          </cell>
          <cell r="G12" t="str">
            <v>ICVM 400</v>
          </cell>
          <cell r="J12">
            <v>38289</v>
          </cell>
          <cell r="M12" t="str">
            <v>Unibanco</v>
          </cell>
          <cell r="W12">
            <v>0.11347</v>
          </cell>
          <cell r="X12">
            <v>38288</v>
          </cell>
          <cell r="AO12">
            <v>0</v>
          </cell>
          <cell r="AP12">
            <v>687986984.99139011</v>
          </cell>
          <cell r="AQ12">
            <v>687986984.99139011</v>
          </cell>
          <cell r="BL12">
            <v>89</v>
          </cell>
          <cell r="DZ12">
            <v>361</v>
          </cell>
          <cell r="ED12">
            <v>251071814.09801841</v>
          </cell>
          <cell r="EF12">
            <v>1.1300088586105003E-2</v>
          </cell>
          <cell r="EH12">
            <v>0.17209472464070194</v>
          </cell>
          <cell r="EJ12">
            <v>0.81335375308152524</v>
          </cell>
          <cell r="EL12">
            <v>3.251433691667866E-3</v>
          </cell>
          <cell r="EQ12" t="str">
            <v>Água e Saneamento</v>
          </cell>
        </row>
        <row r="13">
          <cell r="A13" t="str">
            <v>DASA</v>
          </cell>
          <cell r="C13" t="str">
            <v>NM</v>
          </cell>
          <cell r="F13" t="str">
            <v>IPO</v>
          </cell>
          <cell r="G13" t="str">
            <v>ICVM 400</v>
          </cell>
          <cell r="J13">
            <v>38310</v>
          </cell>
          <cell r="M13" t="str">
            <v>UBS</v>
          </cell>
          <cell r="W13">
            <v>20</v>
          </cell>
          <cell r="X13">
            <v>38308</v>
          </cell>
          <cell r="AO13">
            <v>126136300</v>
          </cell>
          <cell r="AP13">
            <v>311247720</v>
          </cell>
          <cell r="AQ13">
            <v>437384020</v>
          </cell>
          <cell r="BL13">
            <v>2815</v>
          </cell>
          <cell r="DZ13">
            <v>3482</v>
          </cell>
          <cell r="ED13">
            <v>158260310.45337772</v>
          </cell>
          <cell r="EF13">
            <v>8.7210273480041636E-2</v>
          </cell>
          <cell r="EH13">
            <v>0.22275427437883991</v>
          </cell>
          <cell r="EJ13">
            <v>0.68241784416357965</v>
          </cell>
          <cell r="EL13">
            <v>7.6176079775388227E-3</v>
          </cell>
          <cell r="EQ13" t="str">
            <v>Serv. Méd. Hospit., Análises e Diagnósticos</v>
          </cell>
        </row>
        <row r="14">
          <cell r="A14" t="str">
            <v>PORTO SEGURO</v>
          </cell>
          <cell r="C14" t="str">
            <v>NM</v>
          </cell>
          <cell r="F14" t="str">
            <v>IPO</v>
          </cell>
          <cell r="G14" t="str">
            <v>ICVM 400</v>
          </cell>
          <cell r="J14">
            <v>38313</v>
          </cell>
          <cell r="M14" t="str">
            <v>Pactual</v>
          </cell>
          <cell r="W14">
            <v>18.75</v>
          </cell>
          <cell r="X14">
            <v>38309</v>
          </cell>
          <cell r="AO14">
            <v>129022800</v>
          </cell>
          <cell r="AP14">
            <v>248311893.75</v>
          </cell>
          <cell r="AQ14">
            <v>377334693.75</v>
          </cell>
          <cell r="BL14">
            <v>5757</v>
          </cell>
          <cell r="DZ14">
            <v>6499</v>
          </cell>
          <cell r="ED14">
            <v>136330187.78452203</v>
          </cell>
          <cell r="EF14">
            <v>7.9173726256386676E-2</v>
          </cell>
          <cell r="EH14">
            <v>0.18708473848092852</v>
          </cell>
          <cell r="EJ14">
            <v>0.7137786710607763</v>
          </cell>
          <cell r="EL14">
            <v>1.9962864201908549E-2</v>
          </cell>
          <cell r="EQ14" t="str">
            <v>Seguradoras</v>
          </cell>
        </row>
        <row r="15">
          <cell r="A15" t="str">
            <v>GERDAU</v>
          </cell>
          <cell r="C15" t="str">
            <v>N1</v>
          </cell>
          <cell r="F15" t="str">
            <v>FOLLOW-ON</v>
          </cell>
          <cell r="G15" t="str">
            <v>ICVM 400</v>
          </cell>
          <cell r="J15">
            <v>38330</v>
          </cell>
          <cell r="M15" t="str">
            <v>Pactual</v>
          </cell>
          <cell r="W15">
            <v>40.00111342111633</v>
          </cell>
          <cell r="X15">
            <v>38330</v>
          </cell>
          <cell r="AO15">
            <v>0</v>
          </cell>
          <cell r="AP15">
            <v>412805170.32999998</v>
          </cell>
          <cell r="AQ15">
            <v>412805170.32999998</v>
          </cell>
          <cell r="BL15">
            <v>169</v>
          </cell>
          <cell r="DZ15">
            <v>250</v>
          </cell>
          <cell r="ED15">
            <v>148790790.92055941</v>
          </cell>
          <cell r="EF15">
            <v>4.8351127856414856E-2</v>
          </cell>
          <cell r="EH15">
            <v>0.13896637177197091</v>
          </cell>
          <cell r="EJ15">
            <v>0.78504903466545317</v>
          </cell>
          <cell r="EL15">
            <v>2.7633465706161008E-2</v>
          </cell>
          <cell r="EQ15" t="str">
            <v>Siderurgia</v>
          </cell>
        </row>
        <row r="16">
          <cell r="A16" t="str">
            <v>GERDAU MET</v>
          </cell>
          <cell r="C16" t="str">
            <v>N1</v>
          </cell>
          <cell r="F16" t="str">
            <v>FOLLOW-ON</v>
          </cell>
          <cell r="G16" t="str">
            <v>ICVM 400</v>
          </cell>
          <cell r="J16">
            <v>38330</v>
          </cell>
          <cell r="M16" t="str">
            <v>Pactual</v>
          </cell>
          <cell r="W16">
            <v>55</v>
          </cell>
          <cell r="X16">
            <v>38330</v>
          </cell>
          <cell r="AO16">
            <v>0</v>
          </cell>
          <cell r="AP16">
            <v>88266090</v>
          </cell>
          <cell r="AQ16">
            <v>88266090</v>
          </cell>
          <cell r="BL16">
            <v>66</v>
          </cell>
          <cell r="DZ16">
            <v>119</v>
          </cell>
          <cell r="ED16">
            <v>31814478.806228373</v>
          </cell>
          <cell r="EF16">
            <v>0.12963177591756925</v>
          </cell>
          <cell r="EH16">
            <v>0.52802837420350213</v>
          </cell>
          <cell r="EJ16">
            <v>0.28401620599711624</v>
          </cell>
          <cell r="EL16">
            <v>5.8323643881812368E-2</v>
          </cell>
          <cell r="EQ16" t="str">
            <v>Siderurgia</v>
          </cell>
        </row>
        <row r="17">
          <cell r="A17" t="str">
            <v>BRADESPAR</v>
          </cell>
          <cell r="C17" t="str">
            <v>N1</v>
          </cell>
          <cell r="F17" t="str">
            <v>FOLLOW-ON</v>
          </cell>
          <cell r="G17" t="str">
            <v>ICVM 400</v>
          </cell>
          <cell r="J17">
            <v>38336</v>
          </cell>
          <cell r="M17" t="str">
            <v>Credit Suisse</v>
          </cell>
          <cell r="W17">
            <v>77</v>
          </cell>
          <cell r="X17">
            <v>38335</v>
          </cell>
          <cell r="AO17">
            <v>1044546272</v>
          </cell>
          <cell r="AP17">
            <v>0</v>
          </cell>
          <cell r="AQ17">
            <v>1044546272</v>
          </cell>
          <cell r="BL17">
            <v>315</v>
          </cell>
          <cell r="DZ17">
            <v>737</v>
          </cell>
          <cell r="ED17">
            <v>379724542.67849356</v>
          </cell>
          <cell r="EF17">
            <v>3.2629599007366901E-2</v>
          </cell>
          <cell r="EH17">
            <v>0.15792991887677715</v>
          </cell>
          <cell r="EJ17">
            <v>0.66331297193122341</v>
          </cell>
          <cell r="EL17">
            <v>0.14612751018463258</v>
          </cell>
          <cell r="EQ17" t="str">
            <v>Holdings Diversificadas</v>
          </cell>
        </row>
        <row r="18">
          <cell r="A18" t="str">
            <v>SUZANO PETR</v>
          </cell>
          <cell r="C18" t="str">
            <v>N2</v>
          </cell>
          <cell r="F18" t="str">
            <v>FOLLOW-ON</v>
          </cell>
          <cell r="G18" t="str">
            <v>ICVM 400</v>
          </cell>
          <cell r="J18">
            <v>38338</v>
          </cell>
          <cell r="M18" t="str">
            <v>Itaú BBA</v>
          </cell>
          <cell r="W18">
            <v>5.8</v>
          </cell>
          <cell r="X18">
            <v>38337</v>
          </cell>
          <cell r="AO18">
            <v>31900000</v>
          </cell>
          <cell r="AP18">
            <v>146740000</v>
          </cell>
          <cell r="AQ18">
            <v>178640000</v>
          </cell>
          <cell r="BL18">
            <v>4680</v>
          </cell>
          <cell r="DZ18">
            <v>5284</v>
          </cell>
          <cell r="ED18">
            <v>65563181.267662495</v>
          </cell>
          <cell r="EF18">
            <v>0.17821548701298703</v>
          </cell>
          <cell r="EH18">
            <v>0.45734454545454545</v>
          </cell>
          <cell r="EJ18">
            <v>0.35107967532467532</v>
          </cell>
          <cell r="EL18">
            <v>1.3360292207792208E-2</v>
          </cell>
          <cell r="EQ18" t="str">
            <v>Petroquímicos</v>
          </cell>
        </row>
        <row r="19">
          <cell r="A19" t="str">
            <v>UNIBANCO</v>
          </cell>
          <cell r="C19" t="str">
            <v>N1</v>
          </cell>
          <cell r="F19" t="str">
            <v>FOLLOW-ON</v>
          </cell>
          <cell r="G19" t="str">
            <v>ICVM 400</v>
          </cell>
          <cell r="J19">
            <v>38383</v>
          </cell>
          <cell r="M19" t="str">
            <v>Unibanco</v>
          </cell>
          <cell r="W19">
            <v>15.65</v>
          </cell>
          <cell r="X19">
            <v>38383</v>
          </cell>
          <cell r="AO19">
            <v>0</v>
          </cell>
          <cell r="AP19">
            <v>718294106.54999995</v>
          </cell>
          <cell r="AQ19">
            <v>718294106.54999995</v>
          </cell>
          <cell r="BL19">
            <v>1402</v>
          </cell>
          <cell r="DZ19">
            <v>2064</v>
          </cell>
          <cell r="ED19">
            <v>273656700.14858276</v>
          </cell>
          <cell r="EF19">
            <v>8.6912289799852868E-2</v>
          </cell>
          <cell r="EH19">
            <v>0.32188932672790277</v>
          </cell>
          <cell r="EJ19">
            <v>0.56771033610257593</v>
          </cell>
          <cell r="EL19">
            <v>2.3488047369668339E-2</v>
          </cell>
          <cell r="EQ19" t="str">
            <v>Bancos</v>
          </cell>
        </row>
        <row r="20">
          <cell r="A20" t="str">
            <v>RENAR</v>
          </cell>
          <cell r="C20" t="str">
            <v>NM</v>
          </cell>
          <cell r="F20" t="str">
            <v>IPO</v>
          </cell>
          <cell r="G20" t="str">
            <v>ICVM 400</v>
          </cell>
          <cell r="J20">
            <v>38411</v>
          </cell>
          <cell r="M20" t="str">
            <v>Elite</v>
          </cell>
          <cell r="W20">
            <v>1.6</v>
          </cell>
          <cell r="X20">
            <v>38209</v>
          </cell>
          <cell r="AO20">
            <v>16000000</v>
          </cell>
          <cell r="AP20">
            <v>0</v>
          </cell>
          <cell r="AQ20">
            <v>16000000</v>
          </cell>
          <cell r="BL20">
            <v>1589</v>
          </cell>
          <cell r="DZ20">
            <v>1781</v>
          </cell>
          <cell r="ED20">
            <v>6165703.2755298642</v>
          </cell>
          <cell r="EF20">
            <v>0.87065859999999995</v>
          </cell>
          <cell r="EH20">
            <v>1.0185300000000001E-2</v>
          </cell>
          <cell r="EJ20">
            <v>5.2089100000000006E-2</v>
          </cell>
          <cell r="EL20">
            <v>6.7067000000000002E-2</v>
          </cell>
          <cell r="EQ20" t="str">
            <v>Alimentos Diversos</v>
          </cell>
        </row>
        <row r="21">
          <cell r="A21" t="str">
            <v>ALL AMER LAT</v>
          </cell>
          <cell r="C21" t="str">
            <v>N2</v>
          </cell>
          <cell r="F21" t="str">
            <v>FOLLOW-ON</v>
          </cell>
          <cell r="G21" t="str">
            <v>ICVM 400</v>
          </cell>
          <cell r="J21">
            <v>38434</v>
          </cell>
          <cell r="M21" t="str">
            <v>Pactual</v>
          </cell>
          <cell r="W21">
            <v>72.5</v>
          </cell>
          <cell r="X21">
            <v>38433</v>
          </cell>
          <cell r="AO21">
            <v>0</v>
          </cell>
          <cell r="AP21">
            <v>644865677.5</v>
          </cell>
          <cell r="AQ21">
            <v>644865677.5</v>
          </cell>
          <cell r="BL21">
            <v>1167</v>
          </cell>
          <cell r="DZ21">
            <v>1540</v>
          </cell>
          <cell r="ED21">
            <v>235326671.3498522</v>
          </cell>
          <cell r="EF21">
            <v>8.5816619539345856E-2</v>
          </cell>
          <cell r="EH21">
            <v>0.11042386032399747</v>
          </cell>
          <cell r="EJ21">
            <v>0.79990194159465089</v>
          </cell>
          <cell r="EL21">
            <v>3.8575785420057497E-3</v>
          </cell>
          <cell r="EQ21" t="str">
            <v>Transporte Ferroviário</v>
          </cell>
        </row>
        <row r="22">
          <cell r="A22" t="str">
            <v>SUBMARINO</v>
          </cell>
          <cell r="C22" t="str">
            <v>NM</v>
          </cell>
          <cell r="F22" t="str">
            <v>IPO</v>
          </cell>
          <cell r="G22" t="str">
            <v>ICVM 400</v>
          </cell>
          <cell r="J22">
            <v>38441</v>
          </cell>
          <cell r="M22" t="str">
            <v>Credit Suisse</v>
          </cell>
          <cell r="W22">
            <v>21.62</v>
          </cell>
          <cell r="X22">
            <v>38440</v>
          </cell>
          <cell r="AO22">
            <v>135125000</v>
          </cell>
          <cell r="AP22">
            <v>337812500</v>
          </cell>
          <cell r="AQ22">
            <v>472937500</v>
          </cell>
          <cell r="BL22">
            <v>3969</v>
          </cell>
          <cell r="DZ22">
            <v>4368</v>
          </cell>
          <cell r="ED22">
            <v>176416554.75977319</v>
          </cell>
          <cell r="EF22">
            <v>8.858470559006211E-2</v>
          </cell>
          <cell r="EH22">
            <v>0.2329450931677019</v>
          </cell>
          <cell r="EJ22">
            <v>0.65442583850931679</v>
          </cell>
          <cell r="EL22">
            <v>2.4044362732919256E-2</v>
          </cell>
          <cell r="EQ22" t="str">
            <v>Produtos Diversos</v>
          </cell>
        </row>
        <row r="23">
          <cell r="A23" t="str">
            <v>ULTRAPAR</v>
          </cell>
          <cell r="C23" t="str">
            <v>BÁSICO</v>
          </cell>
          <cell r="F23" t="str">
            <v>FOLLOW-ON</v>
          </cell>
          <cell r="G23" t="str">
            <v>ICVM 400</v>
          </cell>
          <cell r="J23">
            <v>38455</v>
          </cell>
          <cell r="M23" t="str">
            <v>UBS</v>
          </cell>
          <cell r="W23">
            <v>0.04</v>
          </cell>
          <cell r="X23">
            <v>38454</v>
          </cell>
          <cell r="AO23">
            <v>47218027.880000003</v>
          </cell>
          <cell r="AP23">
            <v>314786852.72000003</v>
          </cell>
          <cell r="AQ23">
            <v>362004880.60000002</v>
          </cell>
          <cell r="BL23">
            <v>1466</v>
          </cell>
          <cell r="DZ23">
            <v>1817</v>
          </cell>
          <cell r="ED23">
            <v>141419204.85975468</v>
          </cell>
          <cell r="EF23">
            <v>8.0113947502397281E-2</v>
          </cell>
          <cell r="EH23">
            <v>0.13830698811854636</v>
          </cell>
          <cell r="EJ23">
            <v>0.74808946064800641</v>
          </cell>
          <cell r="EL23">
            <v>3.3489603731049804E-2</v>
          </cell>
          <cell r="EQ23" t="str">
            <v>Holdings Diversificadas</v>
          </cell>
        </row>
        <row r="24">
          <cell r="A24" t="str">
            <v>GOL</v>
          </cell>
          <cell r="C24" t="str">
            <v>N2</v>
          </cell>
          <cell r="F24" t="str">
            <v>FOLLOW-ON</v>
          </cell>
          <cell r="G24" t="str">
            <v>ICVM 400</v>
          </cell>
          <cell r="J24">
            <v>38470</v>
          </cell>
          <cell r="M24" t="str">
            <v>Santander</v>
          </cell>
          <cell r="W24">
            <v>35.119999999999997</v>
          </cell>
          <cell r="X24">
            <v>38469</v>
          </cell>
          <cell r="AO24">
            <v>271330482.31999999</v>
          </cell>
          <cell r="AP24">
            <v>322373117.67999995</v>
          </cell>
          <cell r="AQ24">
            <v>593703600</v>
          </cell>
          <cell r="BL24">
            <v>2379</v>
          </cell>
          <cell r="DZ24">
            <v>2598</v>
          </cell>
          <cell r="ED24">
            <v>235437839.5526827</v>
          </cell>
          <cell r="EF24">
            <v>4.7624312333629099E-2</v>
          </cell>
          <cell r="EH24">
            <v>0.15055959775214431</v>
          </cell>
          <cell r="EJ24">
            <v>0.79227151730257306</v>
          </cell>
          <cell r="EL24">
            <v>9.5445726116533559E-3</v>
          </cell>
          <cell r="EQ24" t="str">
            <v>Transporte Aéreo</v>
          </cell>
        </row>
        <row r="25">
          <cell r="A25" t="str">
            <v>LOCALIZA</v>
          </cell>
          <cell r="C25" t="str">
            <v>NM</v>
          </cell>
          <cell r="F25" t="str">
            <v>IPO</v>
          </cell>
          <cell r="G25" t="str">
            <v>ICVM 400</v>
          </cell>
          <cell r="J25">
            <v>38495</v>
          </cell>
          <cell r="M25" t="str">
            <v>Credit Suisse</v>
          </cell>
          <cell r="W25">
            <v>11.5</v>
          </cell>
          <cell r="X25">
            <v>38491</v>
          </cell>
          <cell r="AO25">
            <v>0</v>
          </cell>
          <cell r="AP25">
            <v>264802737.5</v>
          </cell>
          <cell r="AQ25">
            <v>264802737.5</v>
          </cell>
          <cell r="BL25">
            <v>785</v>
          </cell>
          <cell r="DZ25">
            <v>958</v>
          </cell>
          <cell r="ED25">
            <v>108113639.61131752</v>
          </cell>
          <cell r="EF25">
            <v>8.2029748017389284E-2</v>
          </cell>
          <cell r="EH25">
            <v>4.0349202653940167E-2</v>
          </cell>
          <cell r="EJ25">
            <v>0.86661689432317945</v>
          </cell>
          <cell r="EL25">
            <v>1.1004155005491085E-2</v>
          </cell>
          <cell r="EQ25" t="str">
            <v>Aluguel de Carros</v>
          </cell>
        </row>
        <row r="26">
          <cell r="A26" t="str">
            <v>TAM S/A</v>
          </cell>
          <cell r="C26" t="str">
            <v>N2</v>
          </cell>
          <cell r="F26" t="str">
            <v>IPO</v>
          </cell>
          <cell r="G26" t="str">
            <v>ICVM 400</v>
          </cell>
          <cell r="J26">
            <v>38517</v>
          </cell>
          <cell r="M26" t="str">
            <v>Pactual</v>
          </cell>
          <cell r="W26">
            <v>18</v>
          </cell>
          <cell r="X26">
            <v>38516</v>
          </cell>
          <cell r="AO26">
            <v>383942160</v>
          </cell>
          <cell r="AP26">
            <v>164546640</v>
          </cell>
          <cell r="AQ26">
            <v>548488800</v>
          </cell>
          <cell r="BL26">
            <v>1171</v>
          </cell>
          <cell r="DZ26">
            <v>1647</v>
          </cell>
          <cell r="ED26">
            <v>225948012.3583934</v>
          </cell>
          <cell r="EF26">
            <v>9.1328515732682233E-2</v>
          </cell>
          <cell r="EH26">
            <v>0.16127735333884666</v>
          </cell>
          <cell r="EJ26">
            <v>0.73807417398495645</v>
          </cell>
          <cell r="EL26">
            <v>9.3199569435146162E-3</v>
          </cell>
          <cell r="EQ26" t="str">
            <v>Transporte Aéreo</v>
          </cell>
        </row>
        <row r="27">
          <cell r="A27" t="str">
            <v>AES TIETE</v>
          </cell>
          <cell r="C27" t="str">
            <v>BÁSICO</v>
          </cell>
          <cell r="F27" t="str">
            <v>FOLLOW-ON</v>
          </cell>
          <cell r="G27" t="str">
            <v>ICVM 400</v>
          </cell>
          <cell r="J27">
            <v>38518</v>
          </cell>
          <cell r="M27" t="str">
            <v>Credit Suisse</v>
          </cell>
          <cell r="W27">
            <v>3.6499999999999998E-2</v>
          </cell>
          <cell r="X27">
            <v>38517</v>
          </cell>
          <cell r="AO27">
            <v>0</v>
          </cell>
          <cell r="AP27">
            <v>1059840083.5385001</v>
          </cell>
          <cell r="AQ27">
            <v>1059840083.5385001</v>
          </cell>
          <cell r="BL27">
            <v>657</v>
          </cell>
          <cell r="DZ27">
            <v>1139</v>
          </cell>
          <cell r="ED27">
            <v>433383800.26109183</v>
          </cell>
          <cell r="EF27">
            <v>1.7381361137518082E-2</v>
          </cell>
          <cell r="EH27">
            <v>0.17793288041473623</v>
          </cell>
          <cell r="EJ27">
            <v>0.80199920997291008</v>
          </cell>
          <cell r="EL27">
            <v>2.686548474835607E-3</v>
          </cell>
          <cell r="EQ27" t="str">
            <v>Energia Elétrica</v>
          </cell>
        </row>
        <row r="28">
          <cell r="A28" t="str">
            <v>LOJAS RENNER</v>
          </cell>
          <cell r="C28" t="str">
            <v>NM</v>
          </cell>
          <cell r="F28" t="str">
            <v>FOLLOW-ON</v>
          </cell>
          <cell r="G28" t="str">
            <v>ICVM 400</v>
          </cell>
          <cell r="J28">
            <v>38534</v>
          </cell>
          <cell r="M28" t="str">
            <v>Credit Suisse</v>
          </cell>
          <cell r="W28">
            <v>37</v>
          </cell>
          <cell r="X28">
            <v>38532</v>
          </cell>
          <cell r="AO28">
            <v>343138259</v>
          </cell>
          <cell r="AP28">
            <v>542890492</v>
          </cell>
          <cell r="AQ28">
            <v>886028751</v>
          </cell>
          <cell r="BL28">
            <v>106</v>
          </cell>
          <cell r="DZ28">
            <v>448</v>
          </cell>
          <cell r="ED28">
            <v>377692463.87314039</v>
          </cell>
          <cell r="EF28">
            <v>1.8411596364719902E-2</v>
          </cell>
          <cell r="EH28">
            <v>0.11606454064758348</v>
          </cell>
          <cell r="EJ28">
            <v>0.86066164857145577</v>
          </cell>
          <cell r="EL28">
            <v>4.8622144162407963E-3</v>
          </cell>
          <cell r="EQ28" t="str">
            <v>Tecidos, Vestuário e Calçados</v>
          </cell>
        </row>
        <row r="29">
          <cell r="A29" t="str">
            <v>ENERGIAS BR</v>
          </cell>
          <cell r="C29" t="str">
            <v>NM</v>
          </cell>
          <cell r="F29" t="str">
            <v>IPO</v>
          </cell>
          <cell r="G29" t="str">
            <v>ICVM 400</v>
          </cell>
          <cell r="J29">
            <v>38546</v>
          </cell>
          <cell r="M29" t="str">
            <v>UBS</v>
          </cell>
          <cell r="W29">
            <v>18</v>
          </cell>
          <cell r="X29">
            <v>38545</v>
          </cell>
          <cell r="AO29">
            <v>1170132696</v>
          </cell>
          <cell r="AP29">
            <v>14570028</v>
          </cell>
          <cell r="AQ29">
            <v>1184702724</v>
          </cell>
          <cell r="BL29">
            <v>460</v>
          </cell>
          <cell r="DZ29">
            <v>1473</v>
          </cell>
          <cell r="ED29">
            <v>504515255.94072056</v>
          </cell>
          <cell r="EF29">
            <v>1.2570388923998119E-2</v>
          </cell>
          <cell r="EH29">
            <v>0.1546174565898947</v>
          </cell>
          <cell r="EJ29">
            <v>0.26359767195065553</v>
          </cell>
          <cell r="EL29">
            <v>0.5692144825354517</v>
          </cell>
          <cell r="EQ29" t="str">
            <v>Energia Elétrica</v>
          </cell>
        </row>
        <row r="30">
          <cell r="A30" t="str">
            <v>OHL BRASIL</v>
          </cell>
          <cell r="C30" t="str">
            <v>NM</v>
          </cell>
          <cell r="F30" t="str">
            <v>IPO</v>
          </cell>
          <cell r="G30" t="str">
            <v>ICVM 400</v>
          </cell>
          <cell r="J30">
            <v>38548</v>
          </cell>
          <cell r="M30" t="str">
            <v>Unibanco</v>
          </cell>
          <cell r="W30">
            <v>18</v>
          </cell>
          <cell r="X30">
            <v>38546</v>
          </cell>
          <cell r="AO30">
            <v>135000000</v>
          </cell>
          <cell r="AP30">
            <v>360999990</v>
          </cell>
          <cell r="AQ30">
            <v>495999990</v>
          </cell>
          <cell r="BL30">
            <v>1057</v>
          </cell>
          <cell r="DZ30">
            <v>1367</v>
          </cell>
          <cell r="ED30">
            <v>211721513.63810989</v>
          </cell>
          <cell r="EF30">
            <v>7.9794400802306473E-2</v>
          </cell>
          <cell r="EH30">
            <v>0.20655435900311209</v>
          </cell>
          <cell r="EJ30">
            <v>0.70142169156092116</v>
          </cell>
          <cell r="EL30">
            <v>1.2229548633660254E-2</v>
          </cell>
          <cell r="EQ30" t="str">
            <v>Exploração de Rodovias</v>
          </cell>
        </row>
        <row r="31">
          <cell r="A31" t="str">
            <v>UNIBANCO</v>
          </cell>
          <cell r="C31" t="str">
            <v>N1</v>
          </cell>
          <cell r="F31" t="str">
            <v>FOLLOW-ON</v>
          </cell>
          <cell r="G31" t="str">
            <v>ICVM 400</v>
          </cell>
          <cell r="J31">
            <v>38609</v>
          </cell>
          <cell r="M31" t="str">
            <v>Unibanco</v>
          </cell>
          <cell r="W31">
            <v>20.49</v>
          </cell>
          <cell r="X31">
            <v>38608</v>
          </cell>
          <cell r="AO31">
            <v>0</v>
          </cell>
          <cell r="AP31">
            <v>1765197435.8399999</v>
          </cell>
          <cell r="AQ31">
            <v>1765197435.8399999</v>
          </cell>
          <cell r="BL31">
            <v>932</v>
          </cell>
          <cell r="DZ31">
            <v>1415</v>
          </cell>
          <cell r="ED31">
            <v>757595466.02575099</v>
          </cell>
          <cell r="EF31">
            <v>2.9388961589621433E-2</v>
          </cell>
          <cell r="EH31">
            <v>0.1540143441351805</v>
          </cell>
          <cell r="EJ31">
            <v>0.80465119961161347</v>
          </cell>
          <cell r="EL31">
            <v>1.1945494663584633E-2</v>
          </cell>
          <cell r="EQ31" t="str">
            <v>Bancos</v>
          </cell>
        </row>
        <row r="32">
          <cell r="A32" t="str">
            <v>BRADESPAR</v>
          </cell>
          <cell r="C32" t="str">
            <v>N1</v>
          </cell>
          <cell r="F32" t="str">
            <v>FOLLOW-ON</v>
          </cell>
          <cell r="G32" t="str">
            <v>ICVM 400</v>
          </cell>
          <cell r="J32">
            <v>38610</v>
          </cell>
          <cell r="M32" t="str">
            <v>Credit Suisse</v>
          </cell>
          <cell r="W32">
            <v>53</v>
          </cell>
          <cell r="X32">
            <v>38609</v>
          </cell>
          <cell r="AO32">
            <v>0</v>
          </cell>
          <cell r="AP32">
            <v>505059260</v>
          </cell>
          <cell r="AQ32">
            <v>505059260</v>
          </cell>
          <cell r="BL32">
            <v>823</v>
          </cell>
          <cell r="DZ32">
            <v>1289</v>
          </cell>
          <cell r="ED32">
            <v>219476473.14444637</v>
          </cell>
          <cell r="EF32">
            <v>8.5088494367967824E-2</v>
          </cell>
          <cell r="EH32">
            <v>0.23694778905746625</v>
          </cell>
          <cell r="EJ32">
            <v>0.67082687089035853</v>
          </cell>
          <cell r="EL32">
            <v>7.1368456842074331E-3</v>
          </cell>
          <cell r="EQ32" t="str">
            <v>Holdings Diversificadas</v>
          </cell>
        </row>
        <row r="33">
          <cell r="A33" t="str">
            <v>CYRELA REALT</v>
          </cell>
          <cell r="C33" t="str">
            <v>NM</v>
          </cell>
          <cell r="F33" t="str">
            <v>FOLLOW-ON</v>
          </cell>
          <cell r="G33" t="str">
            <v>ICVM 400</v>
          </cell>
          <cell r="J33">
            <v>38617</v>
          </cell>
          <cell r="M33" t="str">
            <v>Credit Suisse</v>
          </cell>
          <cell r="W33">
            <v>15</v>
          </cell>
          <cell r="X33">
            <v>38615</v>
          </cell>
          <cell r="AO33">
            <v>629175000</v>
          </cell>
          <cell r="AP33">
            <v>273000000</v>
          </cell>
          <cell r="AQ33">
            <v>902175000</v>
          </cell>
          <cell r="BL33">
            <v>1574</v>
          </cell>
          <cell r="DZ33">
            <v>2025</v>
          </cell>
          <cell r="ED33">
            <v>396525580.16877639</v>
          </cell>
          <cell r="EF33">
            <v>8.3550852107407106E-2</v>
          </cell>
          <cell r="EH33">
            <v>0.18672499792168926</v>
          </cell>
          <cell r="EJ33">
            <v>0.7224429628398038</v>
          </cell>
          <cell r="EL33">
            <v>7.2811871310998416E-3</v>
          </cell>
          <cell r="EQ33" t="str">
            <v>Construção Civil</v>
          </cell>
        </row>
        <row r="34">
          <cell r="A34" t="str">
            <v>NOSSA CAIXA</v>
          </cell>
          <cell r="C34" t="str">
            <v>NM</v>
          </cell>
          <cell r="F34" t="str">
            <v>IPO</v>
          </cell>
          <cell r="G34" t="str">
            <v>ICVM 400</v>
          </cell>
          <cell r="J34">
            <v>38653</v>
          </cell>
          <cell r="M34" t="str">
            <v>UBS</v>
          </cell>
          <cell r="W34">
            <v>31</v>
          </cell>
          <cell r="X34">
            <v>38651</v>
          </cell>
          <cell r="AO34">
            <v>0</v>
          </cell>
          <cell r="AP34">
            <v>953955994</v>
          </cell>
          <cell r="AQ34">
            <v>953955994</v>
          </cell>
          <cell r="BL34">
            <v>7342</v>
          </cell>
          <cell r="DZ34">
            <v>8983</v>
          </cell>
          <cell r="ED34">
            <v>418546774.54030126</v>
          </cell>
          <cell r="EF34">
            <v>7.061810547206436E-2</v>
          </cell>
          <cell r="EH34">
            <v>0.21591992324123915</v>
          </cell>
          <cell r="EJ34">
            <v>0.70600518497292442</v>
          </cell>
          <cell r="EL34">
            <v>7.4567863137720378E-3</v>
          </cell>
          <cell r="EQ34" t="str">
            <v>Bancos</v>
          </cell>
        </row>
        <row r="35">
          <cell r="A35" t="str">
            <v>COSAN</v>
          </cell>
          <cell r="C35" t="str">
            <v>NM</v>
          </cell>
          <cell r="F35" t="str">
            <v>IPO</v>
          </cell>
          <cell r="G35" t="str">
            <v>ICVM 400</v>
          </cell>
          <cell r="J35">
            <v>38674</v>
          </cell>
          <cell r="M35" t="str">
            <v>Morgan Stanley</v>
          </cell>
          <cell r="W35">
            <v>48</v>
          </cell>
          <cell r="X35">
            <v>38672</v>
          </cell>
          <cell r="AO35">
            <v>885767328</v>
          </cell>
          <cell r="AP35">
            <v>0</v>
          </cell>
          <cell r="AQ35">
            <v>885767328</v>
          </cell>
          <cell r="BL35">
            <v>8835</v>
          </cell>
          <cell r="DZ35">
            <v>10359</v>
          </cell>
          <cell r="ED35">
            <v>399228074.09744442</v>
          </cell>
          <cell r="EF35">
            <v>8.2878378643471487E-2</v>
          </cell>
          <cell r="EH35">
            <v>0.18421603376185941</v>
          </cell>
          <cell r="EJ35">
            <v>0.72297521454753866</v>
          </cell>
          <cell r="EL35">
            <v>9.9303730471304984E-3</v>
          </cell>
          <cell r="EQ35" t="str">
            <v>Alimentos Diversos</v>
          </cell>
        </row>
        <row r="36">
          <cell r="A36" t="str">
            <v>TRACTEBEL</v>
          </cell>
          <cell r="C36" t="str">
            <v>NM</v>
          </cell>
          <cell r="F36" t="str">
            <v>FOLLOW-ON</v>
          </cell>
          <cell r="G36" t="str">
            <v>ICVM 400</v>
          </cell>
          <cell r="J36">
            <v>38695</v>
          </cell>
          <cell r="M36" t="str">
            <v>UBS</v>
          </cell>
          <cell r="W36">
            <v>13</v>
          </cell>
          <cell r="X36">
            <v>38693</v>
          </cell>
          <cell r="AO36">
            <v>0</v>
          </cell>
          <cell r="AP36">
            <v>1051700000</v>
          </cell>
          <cell r="AQ36">
            <v>1051700000</v>
          </cell>
          <cell r="BL36">
            <v>6351</v>
          </cell>
          <cell r="DZ36">
            <v>7405</v>
          </cell>
          <cell r="ED36">
            <v>468546734.3847456</v>
          </cell>
          <cell r="EF36">
            <v>8.4687243510506799E-2</v>
          </cell>
          <cell r="EH36">
            <v>0.35782385661310262</v>
          </cell>
          <cell r="EJ36">
            <v>0.55052860321384423</v>
          </cell>
          <cell r="EL36">
            <v>6.9602966625463532E-3</v>
          </cell>
          <cell r="EQ36" t="str">
            <v>Energia Elétrica</v>
          </cell>
        </row>
        <row r="37">
          <cell r="A37" t="str">
            <v>UOL</v>
          </cell>
          <cell r="C37" t="str">
            <v>N2</v>
          </cell>
          <cell r="F37" t="str">
            <v>IPO</v>
          </cell>
          <cell r="G37" t="str">
            <v>ICVM 400</v>
          </cell>
          <cell r="J37">
            <v>38702</v>
          </cell>
          <cell r="M37" t="str">
            <v>Merrill Lynch</v>
          </cell>
          <cell r="W37">
            <v>18</v>
          </cell>
          <cell r="X37">
            <v>38700</v>
          </cell>
          <cell r="AO37">
            <v>322972416</v>
          </cell>
          <cell r="AP37">
            <v>301708170</v>
          </cell>
          <cell r="AQ37">
            <v>624680586</v>
          </cell>
          <cell r="BL37">
            <v>12890</v>
          </cell>
          <cell r="DZ37">
            <v>14346</v>
          </cell>
          <cell r="ED37">
            <v>267460432.43706116</v>
          </cell>
          <cell r="EF37">
            <v>7.2507475044214037E-2</v>
          </cell>
          <cell r="EH37">
            <v>0.2122019588423707</v>
          </cell>
          <cell r="EJ37">
            <v>0.70989575782974634</v>
          </cell>
          <cell r="EL37">
            <v>5.394808283668992E-3</v>
          </cell>
          <cell r="EQ37" t="str">
            <v>Programas e Serviços</v>
          </cell>
        </row>
        <row r="38">
          <cell r="A38" t="str">
            <v>IOCHP-MAXION</v>
          </cell>
          <cell r="C38" t="str">
            <v>N1</v>
          </cell>
          <cell r="F38" t="str">
            <v>FOLLOW-ON</v>
          </cell>
          <cell r="G38" t="str">
            <v>ICVM 400</v>
          </cell>
          <cell r="J38">
            <v>38750</v>
          </cell>
          <cell r="M38" t="str">
            <v>Unibanco</v>
          </cell>
          <cell r="W38">
            <v>19.25</v>
          </cell>
          <cell r="X38">
            <v>38748</v>
          </cell>
          <cell r="AO38">
            <v>0</v>
          </cell>
          <cell r="AP38">
            <v>340203787</v>
          </cell>
          <cell r="AQ38">
            <v>340203787</v>
          </cell>
          <cell r="BL38">
            <v>6870</v>
          </cell>
          <cell r="DZ38">
            <v>7577</v>
          </cell>
          <cell r="ED38">
            <v>153127689.1569519</v>
          </cell>
          <cell r="EF38">
            <v>0.11827067394332143</v>
          </cell>
          <cell r="EH38">
            <v>0.43583619318392341</v>
          </cell>
          <cell r="EJ38">
            <v>0.41675699151746798</v>
          </cell>
          <cell r="EL38">
            <v>2.9136141355287172E-2</v>
          </cell>
          <cell r="EQ38" t="str">
            <v>Material Rodoviário</v>
          </cell>
        </row>
        <row r="39">
          <cell r="A39" t="str">
            <v>COPASA</v>
          </cell>
          <cell r="C39" t="str">
            <v>NM</v>
          </cell>
          <cell r="F39" t="str">
            <v>IPO</v>
          </cell>
          <cell r="G39" t="str">
            <v>ICVM 400</v>
          </cell>
          <cell r="J39">
            <v>38756</v>
          </cell>
          <cell r="M39" t="str">
            <v>Unibanco</v>
          </cell>
          <cell r="W39">
            <v>23.5</v>
          </cell>
          <cell r="X39">
            <v>38754</v>
          </cell>
          <cell r="AO39">
            <v>813461524</v>
          </cell>
          <cell r="AP39">
            <v>0</v>
          </cell>
          <cell r="AQ39">
            <v>813461524</v>
          </cell>
          <cell r="BL39">
            <v>15465</v>
          </cell>
          <cell r="DZ39">
            <v>17214</v>
          </cell>
          <cell r="ED39">
            <v>370496230.64310437</v>
          </cell>
          <cell r="EF39">
            <v>6.932671901025278E-2</v>
          </cell>
          <cell r="EH39">
            <v>0.17995897431038177</v>
          </cell>
          <cell r="EJ39">
            <v>0.73886237980199787</v>
          </cell>
          <cell r="EL39">
            <v>1.1851926877367589E-2</v>
          </cell>
          <cell r="EQ39" t="str">
            <v>Água e Saneamento</v>
          </cell>
        </row>
        <row r="40">
          <cell r="A40" t="str">
            <v>VIVAX</v>
          </cell>
          <cell r="C40" t="str">
            <v>N2</v>
          </cell>
          <cell r="F40" t="str">
            <v>IPO</v>
          </cell>
          <cell r="G40" t="str">
            <v>ICVM 400</v>
          </cell>
          <cell r="J40">
            <v>38756</v>
          </cell>
          <cell r="M40" t="str">
            <v>Itaú BBA</v>
          </cell>
          <cell r="W40">
            <v>24.5</v>
          </cell>
          <cell r="X40">
            <v>38754</v>
          </cell>
          <cell r="AO40">
            <v>58800000</v>
          </cell>
          <cell r="AP40">
            <v>470400000</v>
          </cell>
          <cell r="AQ40">
            <v>529200000</v>
          </cell>
          <cell r="BL40">
            <v>7730</v>
          </cell>
          <cell r="DZ40">
            <v>9017</v>
          </cell>
          <cell r="ED40">
            <v>241027509.56458369</v>
          </cell>
          <cell r="EF40">
            <v>7.7384722222222216E-2</v>
          </cell>
          <cell r="EH40">
            <v>0.22933722222222222</v>
          </cell>
          <cell r="EJ40">
            <v>0.68627736111111115</v>
          </cell>
          <cell r="EL40">
            <v>7.0006944444444448E-3</v>
          </cell>
          <cell r="EQ40" t="str">
            <v>Televisão Por Assinatura</v>
          </cell>
        </row>
        <row r="41">
          <cell r="A41" t="str">
            <v>ROSSI RESID</v>
          </cell>
          <cell r="C41" t="str">
            <v>NM</v>
          </cell>
          <cell r="F41" t="str">
            <v>FOLLOW-ON</v>
          </cell>
          <cell r="G41" t="str">
            <v>ICVM 400</v>
          </cell>
          <cell r="J41">
            <v>38763</v>
          </cell>
          <cell r="M41" t="str">
            <v>Credit Suisse</v>
          </cell>
          <cell r="W41">
            <v>25</v>
          </cell>
          <cell r="X41">
            <v>38761</v>
          </cell>
          <cell r="AO41">
            <v>762500000</v>
          </cell>
          <cell r="AP41">
            <v>250000000</v>
          </cell>
          <cell r="AQ41">
            <v>1012500000</v>
          </cell>
          <cell r="BL41">
            <v>3348</v>
          </cell>
          <cell r="DZ41">
            <v>3989</v>
          </cell>
          <cell r="ED41">
            <v>472358292.51224631</v>
          </cell>
          <cell r="EF41">
            <v>7.2594839506172834E-2</v>
          </cell>
          <cell r="EH41">
            <v>0.12092846913580246</v>
          </cell>
          <cell r="EJ41">
            <v>0.80292745679012345</v>
          </cell>
          <cell r="EL41">
            <v>3.5492345679012344E-3</v>
          </cell>
          <cell r="EQ41" t="str">
            <v>Construção Civil</v>
          </cell>
        </row>
        <row r="42">
          <cell r="A42" t="str">
            <v>GAFISA</v>
          </cell>
          <cell r="C42" t="str">
            <v>NM</v>
          </cell>
          <cell r="F42" t="str">
            <v>IPO</v>
          </cell>
          <cell r="G42" t="str">
            <v>ICVM 400</v>
          </cell>
          <cell r="J42">
            <v>38765</v>
          </cell>
          <cell r="M42" t="str">
            <v>Merrill Lynch</v>
          </cell>
          <cell r="W42">
            <v>18.5</v>
          </cell>
          <cell r="X42">
            <v>38764</v>
          </cell>
          <cell r="AO42">
            <v>494394000</v>
          </cell>
          <cell r="AP42">
            <v>432594750</v>
          </cell>
          <cell r="AQ42">
            <v>926988750</v>
          </cell>
          <cell r="BL42">
            <v>13753</v>
          </cell>
          <cell r="DZ42">
            <v>15560</v>
          </cell>
          <cell r="ED42">
            <v>437547790.99405271</v>
          </cell>
          <cell r="EF42">
            <v>8.964815646360326E-2</v>
          </cell>
          <cell r="EH42">
            <v>0.17935019707628599</v>
          </cell>
          <cell r="EJ42">
            <v>0.72243095345008235</v>
          </cell>
          <cell r="EL42">
            <v>8.5706930100284389E-3</v>
          </cell>
          <cell r="EQ42" t="str">
            <v>Construção Civil</v>
          </cell>
        </row>
        <row r="43">
          <cell r="A43" t="str">
            <v>COMPANY</v>
          </cell>
          <cell r="C43" t="str">
            <v>NM</v>
          </cell>
          <cell r="F43" t="str">
            <v>IPO</v>
          </cell>
          <cell r="G43" t="str">
            <v>ICVM 400</v>
          </cell>
          <cell r="J43">
            <v>38778</v>
          </cell>
          <cell r="M43" t="str">
            <v>ABN Amro</v>
          </cell>
          <cell r="W43">
            <v>16</v>
          </cell>
          <cell r="X43">
            <v>38771</v>
          </cell>
          <cell r="AO43">
            <v>208000000</v>
          </cell>
          <cell r="AP43">
            <v>73600000</v>
          </cell>
          <cell r="AQ43">
            <v>281600000</v>
          </cell>
          <cell r="BL43">
            <v>12903</v>
          </cell>
          <cell r="DZ43">
            <v>13701</v>
          </cell>
          <cell r="ED43">
            <v>133245008.04391029</v>
          </cell>
          <cell r="EF43">
            <v>9.2559488636363638E-2</v>
          </cell>
          <cell r="EH43">
            <v>0.26853977272727275</v>
          </cell>
          <cell r="EJ43">
            <v>0.63618750000000002</v>
          </cell>
          <cell r="EL43">
            <v>2.7132386363636365E-3</v>
          </cell>
          <cell r="EQ43" t="str">
            <v>Construção Civil</v>
          </cell>
        </row>
        <row r="44">
          <cell r="A44" t="str">
            <v>TOTVS</v>
          </cell>
          <cell r="C44" t="str">
            <v>NM</v>
          </cell>
          <cell r="F44" t="str">
            <v>IPO</v>
          </cell>
          <cell r="G44" t="str">
            <v>ICVM 400</v>
          </cell>
          <cell r="J44">
            <v>38785</v>
          </cell>
          <cell r="M44" t="str">
            <v>Itaú BBA</v>
          </cell>
          <cell r="W44">
            <v>32</v>
          </cell>
          <cell r="X44">
            <v>38783</v>
          </cell>
          <cell r="AO44">
            <v>344800000</v>
          </cell>
          <cell r="AP44">
            <v>115200000</v>
          </cell>
          <cell r="AQ44">
            <v>460000000</v>
          </cell>
          <cell r="BL44">
            <v>16017</v>
          </cell>
          <cell r="DZ44">
            <v>17600</v>
          </cell>
          <cell r="ED44">
            <v>212962962.96296296</v>
          </cell>
          <cell r="EF44">
            <v>8.8108173913043472E-2</v>
          </cell>
          <cell r="EH44">
            <v>0.21268459130434783</v>
          </cell>
          <cell r="EJ44">
            <v>0.69445808695652178</v>
          </cell>
          <cell r="EL44">
            <v>4.7491478260869562E-3</v>
          </cell>
          <cell r="EQ44" t="str">
            <v>Programas e Serviços</v>
          </cell>
        </row>
        <row r="45">
          <cell r="A45" t="str">
            <v>TAM S/A</v>
          </cell>
          <cell r="C45" t="str">
            <v>N2</v>
          </cell>
          <cell r="F45" t="str">
            <v>FOLLOW-ON</v>
          </cell>
          <cell r="G45" t="str">
            <v>ICVM 400</v>
          </cell>
          <cell r="J45">
            <v>38786</v>
          </cell>
          <cell r="M45" t="str">
            <v>Pactual</v>
          </cell>
          <cell r="W45">
            <v>42</v>
          </cell>
          <cell r="X45">
            <v>38785</v>
          </cell>
          <cell r="AO45">
            <v>273162918</v>
          </cell>
          <cell r="AP45">
            <v>1285960116</v>
          </cell>
          <cell r="AQ45">
            <v>1559123034</v>
          </cell>
          <cell r="BL45">
            <v>3510</v>
          </cell>
          <cell r="DZ45">
            <v>3891</v>
          </cell>
          <cell r="ED45">
            <v>728562165.42056072</v>
          </cell>
          <cell r="EF45">
            <v>3.5161401866052801E-2</v>
          </cell>
          <cell r="EH45">
            <v>0.19000637598312647</v>
          </cell>
          <cell r="EJ45">
            <v>0.77077014116993636</v>
          </cell>
          <cell r="EL45">
            <v>4.0620809808843417E-3</v>
          </cell>
          <cell r="EQ45" t="str">
            <v>Transporte Aéreo</v>
          </cell>
        </row>
        <row r="46">
          <cell r="A46" t="str">
            <v>DASA</v>
          </cell>
          <cell r="C46" t="str">
            <v>NM</v>
          </cell>
          <cell r="F46" t="str">
            <v>FOLLOW-ON</v>
          </cell>
          <cell r="G46" t="str">
            <v>ICVM 400</v>
          </cell>
          <cell r="J46">
            <v>38800</v>
          </cell>
          <cell r="M46" t="str">
            <v>UBS</v>
          </cell>
          <cell r="W46">
            <v>49</v>
          </cell>
          <cell r="X46">
            <v>38798</v>
          </cell>
          <cell r="AO46">
            <v>185955000</v>
          </cell>
          <cell r="AP46">
            <v>476428274</v>
          </cell>
          <cell r="AQ46">
            <v>662383274</v>
          </cell>
          <cell r="BL46">
            <v>2063</v>
          </cell>
          <cell r="DZ46">
            <v>2308</v>
          </cell>
          <cell r="ED46">
            <v>306658923.14814812</v>
          </cell>
          <cell r="EF46">
            <v>3.5627391159034613E-2</v>
          </cell>
          <cell r="EH46">
            <v>0.10744068697604221</v>
          </cell>
          <cell r="EJ46">
            <v>0.84918803973302015</v>
          </cell>
          <cell r="EL46">
            <v>7.7438821319029865E-3</v>
          </cell>
          <cell r="EQ46" t="str">
            <v>Serv. Méd. Hospit., Análises e Diagnósticos</v>
          </cell>
        </row>
        <row r="47">
          <cell r="A47" t="str">
            <v>EQUATORIAL</v>
          </cell>
          <cell r="C47" t="str">
            <v>N2</v>
          </cell>
          <cell r="F47" t="str">
            <v>IPO</v>
          </cell>
          <cell r="G47" t="str">
            <v>ICVM 400</v>
          </cell>
          <cell r="J47">
            <v>38810</v>
          </cell>
          <cell r="M47" t="str">
            <v>Credit Suisse</v>
          </cell>
          <cell r="W47">
            <v>14.5</v>
          </cell>
          <cell r="X47">
            <v>38806</v>
          </cell>
          <cell r="AO47">
            <v>185600000</v>
          </cell>
          <cell r="AP47">
            <v>354670000</v>
          </cell>
          <cell r="AQ47">
            <v>540270000</v>
          </cell>
          <cell r="BL47">
            <v>7365</v>
          </cell>
          <cell r="DZ47">
            <v>7886</v>
          </cell>
          <cell r="ED47">
            <v>251288372.09302327</v>
          </cell>
          <cell r="EF47">
            <v>8.6677482555018781E-2</v>
          </cell>
          <cell r="EH47">
            <v>0.14472147074610842</v>
          </cell>
          <cell r="EJ47">
            <v>0.7664336822329576</v>
          </cell>
          <cell r="EL47">
            <v>2.1673644659151907E-3</v>
          </cell>
          <cell r="EQ47" t="str">
            <v>Energia Elétrica</v>
          </cell>
        </row>
        <row r="48">
          <cell r="A48" t="str">
            <v>SARAIVA LIVR</v>
          </cell>
          <cell r="C48" t="str">
            <v>N2</v>
          </cell>
          <cell r="F48" t="str">
            <v>FOLLOW-ON</v>
          </cell>
          <cell r="G48" t="str">
            <v>ICVM 400</v>
          </cell>
          <cell r="J48">
            <v>38820</v>
          </cell>
          <cell r="M48" t="str">
            <v>Santander</v>
          </cell>
          <cell r="W48">
            <v>22</v>
          </cell>
          <cell r="X48">
            <v>38818</v>
          </cell>
          <cell r="AO48">
            <v>66000000</v>
          </cell>
          <cell r="AP48">
            <v>116599230</v>
          </cell>
          <cell r="AQ48">
            <v>182599230</v>
          </cell>
          <cell r="BL48">
            <v>5976</v>
          </cell>
          <cell r="DZ48">
            <v>6226</v>
          </cell>
          <cell r="ED48">
            <v>85326742.9906542</v>
          </cell>
          <cell r="EF48">
            <v>8.3145727260507118E-2</v>
          </cell>
          <cell r="EH48">
            <v>0.16557334615865185</v>
          </cell>
          <cell r="EJ48">
            <v>0.74989997325251612</v>
          </cell>
          <cell r="EL48">
            <v>1.3809533283248906E-3</v>
          </cell>
          <cell r="EQ48" t="str">
            <v>Jornais, Livros e Revistas</v>
          </cell>
        </row>
        <row r="49">
          <cell r="A49" t="str">
            <v>DURATEX</v>
          </cell>
          <cell r="C49" t="str">
            <v>N1</v>
          </cell>
          <cell r="F49" t="str">
            <v>FOLLOW-ON</v>
          </cell>
          <cell r="G49" t="str">
            <v>ICVM 400</v>
          </cell>
          <cell r="J49">
            <v>38820</v>
          </cell>
          <cell r="M49" t="str">
            <v>Itaú BBA</v>
          </cell>
          <cell r="W49">
            <v>43.5</v>
          </cell>
          <cell r="X49">
            <v>38818</v>
          </cell>
          <cell r="AO49">
            <v>195750000</v>
          </cell>
          <cell r="AP49">
            <v>413250000</v>
          </cell>
          <cell r="AQ49">
            <v>609000000</v>
          </cell>
          <cell r="BL49">
            <v>4291</v>
          </cell>
          <cell r="DZ49">
            <v>4842</v>
          </cell>
          <cell r="ED49">
            <v>284579439.25233644</v>
          </cell>
          <cell r="EF49">
            <v>6.1074571428571429E-2</v>
          </cell>
          <cell r="EH49">
            <v>0.15003042857142856</v>
          </cell>
          <cell r="EJ49">
            <v>0.46428285714285716</v>
          </cell>
          <cell r="EL49">
            <v>0.32461214285714285</v>
          </cell>
          <cell r="EQ49" t="str">
            <v>Madeira</v>
          </cell>
        </row>
        <row r="50">
          <cell r="A50" t="str">
            <v>SUBMARINO</v>
          </cell>
          <cell r="C50" t="str">
            <v>NM</v>
          </cell>
          <cell r="F50" t="str">
            <v>FOLLOW-ON</v>
          </cell>
          <cell r="G50" t="str">
            <v>ICVM 400</v>
          </cell>
          <cell r="J50">
            <v>38824</v>
          </cell>
          <cell r="M50" t="str">
            <v>Credit Suisse</v>
          </cell>
          <cell r="W50">
            <v>53.75</v>
          </cell>
          <cell r="X50">
            <v>38819</v>
          </cell>
          <cell r="AO50">
            <v>291506030</v>
          </cell>
          <cell r="AP50">
            <v>637570890</v>
          </cell>
          <cell r="AQ50">
            <v>929076920</v>
          </cell>
          <cell r="BL50">
            <v>0</v>
          </cell>
          <cell r="DZ50">
            <v>140</v>
          </cell>
          <cell r="ED50">
            <v>435450374.95313084</v>
          </cell>
          <cell r="EF50">
            <v>3.3927445066147307E-4</v>
          </cell>
          <cell r="EH50">
            <v>9.9578086343737576E-2</v>
          </cell>
          <cell r="EJ50">
            <v>0.8999848821604951</v>
          </cell>
          <cell r="EL50">
            <v>9.7757045105848167E-5</v>
          </cell>
          <cell r="EQ50" t="str">
            <v>Produtos Diversos</v>
          </cell>
        </row>
        <row r="51">
          <cell r="A51" t="str">
            <v>LOCALIZA</v>
          </cell>
          <cell r="C51" t="str">
            <v>NM</v>
          </cell>
          <cell r="F51" t="str">
            <v>FOLLOW-ON</v>
          </cell>
          <cell r="G51" t="str">
            <v>ICVM 400</v>
          </cell>
          <cell r="J51">
            <v>38827</v>
          </cell>
          <cell r="M51" t="str">
            <v>Pactual</v>
          </cell>
          <cell r="W51">
            <v>41</v>
          </cell>
          <cell r="X51">
            <v>38826</v>
          </cell>
          <cell r="AO51">
            <v>156825000</v>
          </cell>
          <cell r="AP51">
            <v>237214274</v>
          </cell>
          <cell r="AQ51">
            <v>394039274</v>
          </cell>
          <cell r="BL51">
            <v>2514</v>
          </cell>
          <cell r="DZ51">
            <v>2959</v>
          </cell>
          <cell r="ED51">
            <v>185552492.93652287</v>
          </cell>
          <cell r="EF51">
            <v>8.3502224704636932E-2</v>
          </cell>
          <cell r="EH51">
            <v>0.17417925452781136</v>
          </cell>
          <cell r="EJ51">
            <v>0.7360311627211048</v>
          </cell>
          <cell r="EL51">
            <v>6.287358046446913E-3</v>
          </cell>
          <cell r="EQ51" t="str">
            <v>Aluguel de Carros</v>
          </cell>
        </row>
        <row r="52">
          <cell r="A52" t="str">
            <v>ABNOTE</v>
          </cell>
          <cell r="C52" t="str">
            <v>NM</v>
          </cell>
          <cell r="F52" t="str">
            <v>IPO</v>
          </cell>
          <cell r="G52" t="str">
            <v>ICVM 400</v>
          </cell>
          <cell r="J52">
            <v>38834</v>
          </cell>
          <cell r="M52" t="str">
            <v>UBS</v>
          </cell>
          <cell r="W52">
            <v>17</v>
          </cell>
          <cell r="X52">
            <v>38832</v>
          </cell>
          <cell r="AO52">
            <v>0</v>
          </cell>
          <cell r="AP52">
            <v>480434790</v>
          </cell>
          <cell r="AQ52">
            <v>480434790</v>
          </cell>
          <cell r="BL52">
            <v>15132</v>
          </cell>
          <cell r="DZ52">
            <v>16861</v>
          </cell>
          <cell r="ED52">
            <v>227694213.2701422</v>
          </cell>
          <cell r="EF52">
            <v>8.4696676923076919E-2</v>
          </cell>
          <cell r="EH52">
            <v>0.21285553846153846</v>
          </cell>
          <cell r="EJ52">
            <v>0.69714643076923077</v>
          </cell>
          <cell r="EL52">
            <v>5.3013538461538457E-3</v>
          </cell>
          <cell r="EQ52" t="str">
            <v>Serviços Diversos</v>
          </cell>
        </row>
        <row r="53">
          <cell r="A53" t="str">
            <v>RANDON PART</v>
          </cell>
          <cell r="C53" t="str">
            <v>N1</v>
          </cell>
          <cell r="F53" t="str">
            <v>FOLLOW-ON</v>
          </cell>
          <cell r="G53" t="str">
            <v>ICVM 400</v>
          </cell>
          <cell r="J53">
            <v>38835</v>
          </cell>
          <cell r="M53" t="str">
            <v>Santander</v>
          </cell>
          <cell r="W53">
            <v>8.25</v>
          </cell>
          <cell r="X53">
            <v>38833</v>
          </cell>
          <cell r="AO53">
            <v>99000000</v>
          </cell>
          <cell r="AP53">
            <v>136200207</v>
          </cell>
          <cell r="AQ53">
            <v>235200207</v>
          </cell>
          <cell r="BL53">
            <v>4084</v>
          </cell>
          <cell r="DZ53">
            <v>4335</v>
          </cell>
          <cell r="ED53">
            <v>112535984.21052632</v>
          </cell>
          <cell r="EF53">
            <v>0.11253085449538529</v>
          </cell>
          <cell r="EH53">
            <v>0.23322481290916422</v>
          </cell>
          <cell r="EJ53">
            <v>0.53813143054448742</v>
          </cell>
          <cell r="EL53">
            <v>0.11611290205096311</v>
          </cell>
          <cell r="EQ53" t="str">
            <v>Material Rodoviário</v>
          </cell>
        </row>
        <row r="54">
          <cell r="A54" t="str">
            <v>CSU CARDSYST</v>
          </cell>
          <cell r="C54" t="str">
            <v>NM</v>
          </cell>
          <cell r="F54" t="str">
            <v>IPO</v>
          </cell>
          <cell r="G54" t="str">
            <v>ICVM 400</v>
          </cell>
          <cell r="J54">
            <v>38839</v>
          </cell>
          <cell r="M54" t="str">
            <v>Credit Suisse</v>
          </cell>
          <cell r="W54">
            <v>18</v>
          </cell>
          <cell r="X54">
            <v>38834</v>
          </cell>
          <cell r="AO54">
            <v>100288746</v>
          </cell>
          <cell r="AP54">
            <v>240683832</v>
          </cell>
          <cell r="AQ54">
            <v>340972578</v>
          </cell>
          <cell r="BL54">
            <v>14362</v>
          </cell>
          <cell r="DZ54">
            <v>15585</v>
          </cell>
          <cell r="ED54">
            <v>164721052.17391306</v>
          </cell>
          <cell r="EF54">
            <v>8.5677526706202378E-2</v>
          </cell>
          <cell r="EH54">
            <v>0.1551682562704737</v>
          </cell>
          <cell r="EJ54">
            <v>0.72076162534780119</v>
          </cell>
          <cell r="EL54">
            <v>3.8392591675522794E-2</v>
          </cell>
          <cell r="EQ54" t="str">
            <v>Serviços Diversos</v>
          </cell>
        </row>
        <row r="55">
          <cell r="A55" t="str">
            <v>BRASILAGRO</v>
          </cell>
          <cell r="C55" t="str">
            <v>NM</v>
          </cell>
          <cell r="F55" t="str">
            <v>IPO</v>
          </cell>
          <cell r="G55" t="str">
            <v>ICVM 400</v>
          </cell>
          <cell r="J55">
            <v>38839</v>
          </cell>
          <cell r="M55" t="str">
            <v>Credit Suisse</v>
          </cell>
          <cell r="W55">
            <v>1000</v>
          </cell>
          <cell r="X55">
            <v>38834</v>
          </cell>
          <cell r="AO55">
            <v>583200000</v>
          </cell>
          <cell r="AP55">
            <v>0</v>
          </cell>
          <cell r="AQ55">
            <v>583200000</v>
          </cell>
          <cell r="BL55">
            <v>3</v>
          </cell>
          <cell r="DZ55">
            <v>39</v>
          </cell>
          <cell r="ED55">
            <v>281739130.43478262</v>
          </cell>
          <cell r="EF55">
            <v>1.5432098765432098E-3</v>
          </cell>
          <cell r="EH55">
            <v>3.137860082304527E-2</v>
          </cell>
          <cell r="EJ55">
            <v>0.82407407407407407</v>
          </cell>
          <cell r="EL55">
            <v>0.14300411522633744</v>
          </cell>
          <cell r="EQ55" t="str">
            <v>Exploração de Imóveis</v>
          </cell>
        </row>
        <row r="56">
          <cell r="A56" t="str">
            <v>LUPATECH</v>
          </cell>
          <cell r="C56" t="str">
            <v>NM</v>
          </cell>
          <cell r="F56" t="str">
            <v>IPO</v>
          </cell>
          <cell r="G56" t="str">
            <v>ICVM 400</v>
          </cell>
          <cell r="J56">
            <v>38852</v>
          </cell>
          <cell r="M56" t="str">
            <v>Pactual</v>
          </cell>
          <cell r="W56">
            <v>22</v>
          </cell>
          <cell r="X56">
            <v>38848</v>
          </cell>
          <cell r="AO56">
            <v>155048652</v>
          </cell>
          <cell r="AP56">
            <v>297691372</v>
          </cell>
          <cell r="AQ56">
            <v>452740024</v>
          </cell>
          <cell r="BL56">
            <v>11198</v>
          </cell>
          <cell r="DZ56">
            <v>12203</v>
          </cell>
          <cell r="ED56">
            <v>207678910.09174311</v>
          </cell>
          <cell r="EF56">
            <v>7.5820524797742705E-2</v>
          </cell>
          <cell r="EH56">
            <v>0.19384417844405805</v>
          </cell>
          <cell r="EJ56">
            <v>0.72849599784880725</v>
          </cell>
          <cell r="EL56">
            <v>1.8392989093919383E-3</v>
          </cell>
          <cell r="EQ56" t="str">
            <v>Motores, Compressores e Outros</v>
          </cell>
        </row>
        <row r="57">
          <cell r="A57" t="str">
            <v>GP INVEST ¹</v>
          </cell>
          <cell r="C57" t="str">
            <v>BDR</v>
          </cell>
          <cell r="F57" t="str">
            <v>IPO</v>
          </cell>
          <cell r="G57" t="str">
            <v>ICVM 400</v>
          </cell>
          <cell r="J57">
            <v>38869</v>
          </cell>
          <cell r="M57" t="str">
            <v>Credit Suisse</v>
          </cell>
          <cell r="W57">
            <v>34.270000000000003</v>
          </cell>
          <cell r="X57">
            <v>38867</v>
          </cell>
          <cell r="AO57">
            <v>705980848.5</v>
          </cell>
          <cell r="AP57">
            <v>0</v>
          </cell>
          <cell r="AQ57">
            <v>705980848.5</v>
          </cell>
          <cell r="BL57">
            <v>2356</v>
          </cell>
          <cell r="DZ57">
            <v>2524</v>
          </cell>
          <cell r="ED57">
            <v>311004779.07488984</v>
          </cell>
          <cell r="EF57">
            <v>3.9467626944223975E-2</v>
          </cell>
          <cell r="EH57">
            <v>0.17410839460209149</v>
          </cell>
          <cell r="EJ57">
            <v>0.75689507224490482</v>
          </cell>
          <cell r="EL57">
            <v>2.9528906208779539E-2</v>
          </cell>
          <cell r="EQ57" t="str">
            <v>Holdings Diversificadas</v>
          </cell>
        </row>
        <row r="58">
          <cell r="A58" t="str">
            <v>DATASUL</v>
          </cell>
          <cell r="C58" t="str">
            <v>NM</v>
          </cell>
          <cell r="F58" t="str">
            <v>IPO</v>
          </cell>
          <cell r="G58" t="str">
            <v>ICVM 400</v>
          </cell>
          <cell r="J58">
            <v>38870</v>
          </cell>
          <cell r="M58" t="str">
            <v>UBS</v>
          </cell>
          <cell r="W58">
            <v>18</v>
          </cell>
          <cell r="X58">
            <v>38868</v>
          </cell>
          <cell r="AO58">
            <v>150697674</v>
          </cell>
          <cell r="AP58">
            <v>166314834</v>
          </cell>
          <cell r="AQ58">
            <v>317012508</v>
          </cell>
          <cell r="BL58">
            <v>5470</v>
          </cell>
          <cell r="DZ58">
            <v>5973</v>
          </cell>
          <cell r="ED58">
            <v>140271021.23893806</v>
          </cell>
          <cell r="EF58">
            <v>0.13531041986984157</v>
          </cell>
          <cell r="EH58">
            <v>0.13003502633668229</v>
          </cell>
          <cell r="EJ58">
            <v>0.71698253874368112</v>
          </cell>
          <cell r="EL58">
            <v>1.7672015049795001E-2</v>
          </cell>
          <cell r="EQ58" t="str">
            <v>Programas e Serviços</v>
          </cell>
        </row>
        <row r="59">
          <cell r="A59" t="str">
            <v>PORTO SEGURO</v>
          </cell>
          <cell r="C59" t="str">
            <v>NM</v>
          </cell>
          <cell r="F59" t="str">
            <v>FOLLOW-ON</v>
          </cell>
          <cell r="G59" t="str">
            <v>ICVM 400</v>
          </cell>
          <cell r="J59">
            <v>38882</v>
          </cell>
          <cell r="M59" t="str">
            <v>Pactual</v>
          </cell>
          <cell r="W59">
            <v>33.5</v>
          </cell>
          <cell r="X59">
            <v>38881</v>
          </cell>
          <cell r="AO59">
            <v>0</v>
          </cell>
          <cell r="AP59">
            <v>201000000</v>
          </cell>
          <cell r="AQ59">
            <v>201000000</v>
          </cell>
          <cell r="BL59">
            <v>272</v>
          </cell>
          <cell r="DZ59">
            <v>350</v>
          </cell>
          <cell r="ED59">
            <v>87984241.62836507</v>
          </cell>
          <cell r="EF59">
            <v>3.1793166666666664E-2</v>
          </cell>
          <cell r="EH59">
            <v>0.42966833333333332</v>
          </cell>
          <cell r="EJ59">
            <v>0.5383</v>
          </cell>
          <cell r="EL59">
            <v>2.385E-4</v>
          </cell>
          <cell r="EQ59" t="str">
            <v>Seguradoras</v>
          </cell>
        </row>
        <row r="60">
          <cell r="A60" t="str">
            <v>BRASIL</v>
          </cell>
          <cell r="C60" t="str">
            <v>NM</v>
          </cell>
          <cell r="F60" t="str">
            <v>FOLLOW-ON</v>
          </cell>
          <cell r="G60" t="str">
            <v>ICVM 400</v>
          </cell>
          <cell r="J60">
            <v>38896</v>
          </cell>
          <cell r="M60" t="str">
            <v>BB Investimentos</v>
          </cell>
          <cell r="W60">
            <v>43.5</v>
          </cell>
          <cell r="X60">
            <v>38894</v>
          </cell>
          <cell r="AO60">
            <v>0</v>
          </cell>
          <cell r="AP60">
            <v>2273208949.5</v>
          </cell>
          <cell r="AQ60">
            <v>2273208949.5</v>
          </cell>
          <cell r="BL60">
            <v>48602</v>
          </cell>
          <cell r="DZ60">
            <v>52923</v>
          </cell>
          <cell r="ED60">
            <v>1021207973.7196766</v>
          </cell>
          <cell r="EF60">
            <v>0.28020221794397787</v>
          </cell>
          <cell r="EH60">
            <v>0.1857223963476218</v>
          </cell>
          <cell r="EJ60">
            <v>0.5086859678052662</v>
          </cell>
          <cell r="EL60">
            <v>2.5389417903134117E-2</v>
          </cell>
          <cell r="EQ60" t="str">
            <v>Bancos</v>
          </cell>
        </row>
        <row r="61">
          <cell r="A61" t="str">
            <v>CYRELA REALT</v>
          </cell>
          <cell r="C61" t="str">
            <v>NM</v>
          </cell>
          <cell r="F61" t="str">
            <v>FOLLOW-ON</v>
          </cell>
          <cell r="G61" t="str">
            <v>ICVM 400</v>
          </cell>
          <cell r="J61">
            <v>38919</v>
          </cell>
          <cell r="M61" t="str">
            <v>Credit Suisse</v>
          </cell>
          <cell r="W61">
            <v>29.5</v>
          </cell>
          <cell r="X61">
            <v>38917</v>
          </cell>
          <cell r="AO61">
            <v>728650000</v>
          </cell>
          <cell r="AP61">
            <v>109297500</v>
          </cell>
          <cell r="AQ61">
            <v>837947500</v>
          </cell>
          <cell r="BL61">
            <v>1283</v>
          </cell>
          <cell r="DZ61">
            <v>1778</v>
          </cell>
          <cell r="ED61">
            <v>386150921.65898621</v>
          </cell>
          <cell r="EF61">
            <v>3.8783664847738077E-2</v>
          </cell>
          <cell r="EH61">
            <v>0.20289628586516459</v>
          </cell>
          <cell r="EJ61">
            <v>0.75482721351874671</v>
          </cell>
          <cell r="EL61">
            <v>3.4928357683506423E-3</v>
          </cell>
          <cell r="EQ61" t="str">
            <v>Construção Civil</v>
          </cell>
        </row>
        <row r="62">
          <cell r="A62" t="str">
            <v>MMX MINER</v>
          </cell>
          <cell r="C62" t="str">
            <v>NM</v>
          </cell>
          <cell r="F62" t="str">
            <v>IPO</v>
          </cell>
          <cell r="G62" t="str">
            <v>ICVM 400</v>
          </cell>
          <cell r="J62">
            <v>38922</v>
          </cell>
          <cell r="M62" t="str">
            <v>Pactual</v>
          </cell>
          <cell r="W62">
            <v>815</v>
          </cell>
          <cell r="X62">
            <v>38918</v>
          </cell>
          <cell r="AO62">
            <v>1118895570</v>
          </cell>
          <cell r="AP62">
            <v>0</v>
          </cell>
          <cell r="AQ62">
            <v>1118895570</v>
          </cell>
          <cell r="BL62">
            <v>17</v>
          </cell>
          <cell r="DZ62">
            <v>110</v>
          </cell>
          <cell r="ED62">
            <v>510911219.17808223</v>
          </cell>
          <cell r="EF62">
            <v>4.2011655823986317E-3</v>
          </cell>
          <cell r="EH62">
            <v>0.1100774254155366</v>
          </cell>
          <cell r="EJ62">
            <v>0.75777318940094129</v>
          </cell>
          <cell r="EL62">
            <v>0.12794821960112343</v>
          </cell>
          <cell r="EQ62" t="str">
            <v>Minerais Metálicos</v>
          </cell>
        </row>
        <row r="63">
          <cell r="A63" t="str">
            <v>ABYARA</v>
          </cell>
          <cell r="C63" t="str">
            <v>NM</v>
          </cell>
          <cell r="F63" t="str">
            <v>IPO</v>
          </cell>
          <cell r="G63" t="str">
            <v>ICVM 400</v>
          </cell>
          <cell r="J63">
            <v>38925</v>
          </cell>
          <cell r="M63" t="str">
            <v>Morgan Stanley</v>
          </cell>
          <cell r="W63">
            <v>25</v>
          </cell>
          <cell r="X63">
            <v>38923</v>
          </cell>
          <cell r="AO63">
            <v>163770250</v>
          </cell>
          <cell r="AP63">
            <v>0</v>
          </cell>
          <cell r="AQ63">
            <v>163770250</v>
          </cell>
          <cell r="BL63">
            <v>6</v>
          </cell>
          <cell r="DZ63">
            <v>37</v>
          </cell>
          <cell r="ED63">
            <v>74780936.073059365</v>
          </cell>
          <cell r="EF63">
            <v>1.1062237531129828E-2</v>
          </cell>
          <cell r="EH63">
            <v>3.5952271976171943E-2</v>
          </cell>
          <cell r="EJ63">
            <v>0.83197014302090344</v>
          </cell>
          <cell r="EL63">
            <v>0.12101534747179475</v>
          </cell>
          <cell r="EQ63" t="str">
            <v>Construção Civil</v>
          </cell>
        </row>
        <row r="64">
          <cell r="A64" t="str">
            <v>CESP</v>
          </cell>
          <cell r="C64" t="str">
            <v>N1</v>
          </cell>
          <cell r="F64" t="str">
            <v>FOLLOW-ON</v>
          </cell>
          <cell r="G64" t="str">
            <v>ICVM 400</v>
          </cell>
          <cell r="J64">
            <v>38926</v>
          </cell>
          <cell r="M64" t="str">
            <v>UBS</v>
          </cell>
          <cell r="W64">
            <v>1.4500000000000001E-2</v>
          </cell>
          <cell r="X64">
            <v>38925</v>
          </cell>
          <cell r="AO64">
            <v>3199999999.9794998</v>
          </cell>
          <cell r="AP64">
            <v>0</v>
          </cell>
          <cell r="AQ64">
            <v>3199999999.9794998</v>
          </cell>
          <cell r="BL64">
            <v>3036</v>
          </cell>
          <cell r="DZ64">
            <v>4049</v>
          </cell>
          <cell r="ED64">
            <v>1474654377.8707373</v>
          </cell>
          <cell r="EF64">
            <v>2.415954203140477E-2</v>
          </cell>
          <cell r="EH64">
            <v>0.25403699986100237</v>
          </cell>
          <cell r="EJ64">
            <v>0.30451281029882576</v>
          </cell>
          <cell r="EL64">
            <v>0.41729064780876701</v>
          </cell>
          <cell r="EQ64" t="str">
            <v>Energia Elétrica</v>
          </cell>
        </row>
        <row r="65">
          <cell r="A65" t="str">
            <v>MEDIAL SAUDE</v>
          </cell>
          <cell r="C65" t="str">
            <v>NM</v>
          </cell>
          <cell r="F65" t="str">
            <v>IPO</v>
          </cell>
          <cell r="G65" t="str">
            <v>ICVM 400</v>
          </cell>
          <cell r="J65">
            <v>38982</v>
          </cell>
          <cell r="M65" t="str">
            <v>Credit Suisse</v>
          </cell>
          <cell r="W65">
            <v>21.5</v>
          </cell>
          <cell r="X65">
            <v>38980</v>
          </cell>
          <cell r="AO65">
            <v>474075000</v>
          </cell>
          <cell r="AP65">
            <v>268212328</v>
          </cell>
          <cell r="AQ65">
            <v>742287328</v>
          </cell>
          <cell r="BL65">
            <v>3061</v>
          </cell>
          <cell r="DZ65">
            <v>3596</v>
          </cell>
          <cell r="ED65">
            <v>335876619.00452489</v>
          </cell>
          <cell r="EF65">
            <v>6.8844331665594588E-2</v>
          </cell>
          <cell r="EH65">
            <v>0.16694425302111585</v>
          </cell>
          <cell r="EJ65">
            <v>0.75879727937373598</v>
          </cell>
          <cell r="EL65">
            <v>5.4141359395535847E-3</v>
          </cell>
          <cell r="EQ65" t="str">
            <v>Serv. Méd. Hospit., Análises e Diagnósticos</v>
          </cell>
        </row>
        <row r="66">
          <cell r="A66" t="str">
            <v>ELETROPAULO</v>
          </cell>
          <cell r="C66" t="str">
            <v>N2</v>
          </cell>
          <cell r="F66" t="str">
            <v>FOLLOW-ON</v>
          </cell>
          <cell r="G66" t="str">
            <v>ICVM 400</v>
          </cell>
          <cell r="J66">
            <v>38985</v>
          </cell>
          <cell r="M66" t="str">
            <v>Credit Suisse</v>
          </cell>
          <cell r="W66">
            <v>8.5000000000000006E-2</v>
          </cell>
          <cell r="X66">
            <v>38981</v>
          </cell>
          <cell r="AO66">
            <v>0</v>
          </cell>
          <cell r="AP66">
            <v>1345481065</v>
          </cell>
          <cell r="AQ66">
            <v>1345481065</v>
          </cell>
          <cell r="BL66">
            <v>3660</v>
          </cell>
          <cell r="DZ66">
            <v>4478</v>
          </cell>
          <cell r="ED66">
            <v>608814961.53846157</v>
          </cell>
          <cell r="EF66">
            <v>8.8191378598107578E-2</v>
          </cell>
          <cell r="EH66">
            <v>0.3037705831296853</v>
          </cell>
          <cell r="EJ66">
            <v>0.60090558189683629</v>
          </cell>
          <cell r="EL66">
            <v>7.1324563753708417E-3</v>
          </cell>
          <cell r="EQ66" t="str">
            <v>Energia Elétrica</v>
          </cell>
        </row>
        <row r="67">
          <cell r="A67" t="str">
            <v>KLABINSEGALL</v>
          </cell>
          <cell r="C67" t="str">
            <v>NM</v>
          </cell>
          <cell r="F67" t="str">
            <v>IPO</v>
          </cell>
          <cell r="G67" t="str">
            <v>ICVM 400</v>
          </cell>
          <cell r="J67">
            <v>38999</v>
          </cell>
          <cell r="M67" t="str">
            <v>Deutsche Bank</v>
          </cell>
          <cell r="W67">
            <v>15</v>
          </cell>
          <cell r="X67">
            <v>38995</v>
          </cell>
          <cell r="AO67">
            <v>360573750</v>
          </cell>
          <cell r="AP67">
            <v>166773750</v>
          </cell>
          <cell r="AQ67">
            <v>527347500</v>
          </cell>
          <cell r="BL67">
            <v>4624</v>
          </cell>
          <cell r="DZ67">
            <v>5131</v>
          </cell>
          <cell r="ED67">
            <v>244142361.1111111</v>
          </cell>
          <cell r="EF67">
            <v>8.6502840220756494E-2</v>
          </cell>
          <cell r="EH67">
            <v>0.2590074034190335</v>
          </cell>
          <cell r="EJ67">
            <v>0.65090281329923272</v>
          </cell>
          <cell r="EL67">
            <v>3.5869430609772514E-3</v>
          </cell>
          <cell r="EQ67" t="str">
            <v>Construção Civil</v>
          </cell>
        </row>
        <row r="68">
          <cell r="A68" t="str">
            <v>SANTOS BRAS</v>
          </cell>
          <cell r="C68" t="str">
            <v>N2</v>
          </cell>
          <cell r="F68" t="str">
            <v>IPO</v>
          </cell>
          <cell r="G68" t="str">
            <v>ICVM 400</v>
          </cell>
          <cell r="J68">
            <v>39003</v>
          </cell>
          <cell r="M68" t="str">
            <v>Credit Suisse</v>
          </cell>
          <cell r="W68">
            <v>23</v>
          </cell>
          <cell r="X68">
            <v>39000</v>
          </cell>
          <cell r="AO68">
            <v>924968759</v>
          </cell>
          <cell r="AP68">
            <v>8433341</v>
          </cell>
          <cell r="AQ68">
            <v>933402100</v>
          </cell>
          <cell r="BL68">
            <v>4209</v>
          </cell>
          <cell r="DZ68">
            <v>4873</v>
          </cell>
          <cell r="ED68">
            <v>436169205.60747659</v>
          </cell>
          <cell r="EF68">
            <v>8.4064428925433657E-2</v>
          </cell>
          <cell r="EH68">
            <v>0.1400592120083945</v>
          </cell>
          <cell r="EJ68">
            <v>0.77116885026262438</v>
          </cell>
          <cell r="EL68">
            <v>4.7075088035475037E-3</v>
          </cell>
          <cell r="EQ68" t="str">
            <v>Serviços de Apoio e Armazenagem</v>
          </cell>
        </row>
        <row r="69">
          <cell r="A69" t="str">
            <v>M.DIASBRANCO</v>
          </cell>
          <cell r="C69" t="str">
            <v>NM</v>
          </cell>
          <cell r="F69" t="str">
            <v>IPO</v>
          </cell>
          <cell r="G69" t="str">
            <v>ICVM 400</v>
          </cell>
          <cell r="J69">
            <v>39008</v>
          </cell>
          <cell r="M69" t="str">
            <v>Pactual</v>
          </cell>
          <cell r="W69">
            <v>21</v>
          </cell>
          <cell r="X69">
            <v>39006</v>
          </cell>
          <cell r="AO69">
            <v>0</v>
          </cell>
          <cell r="AP69">
            <v>410766300</v>
          </cell>
          <cell r="AQ69">
            <v>410766300</v>
          </cell>
          <cell r="BL69">
            <v>3363</v>
          </cell>
          <cell r="DZ69">
            <v>3737</v>
          </cell>
          <cell r="ED69">
            <v>192848028.1690141</v>
          </cell>
          <cell r="EF69">
            <v>8.4262434984598289E-2</v>
          </cell>
          <cell r="EH69">
            <v>0.20212790991263949</v>
          </cell>
          <cell r="EJ69">
            <v>0.70858203302529921</v>
          </cell>
          <cell r="EL69">
            <v>5.0276220774630107E-3</v>
          </cell>
          <cell r="EQ69" t="str">
            <v>Alimentos Diversos</v>
          </cell>
        </row>
        <row r="70">
          <cell r="A70" t="str">
            <v>PERDIGAO S/A</v>
          </cell>
          <cell r="C70" t="str">
            <v>NM</v>
          </cell>
          <cell r="F70" t="str">
            <v>FOLLOW-ON</v>
          </cell>
          <cell r="G70" t="str">
            <v>ICVM 400</v>
          </cell>
          <cell r="J70">
            <v>39017</v>
          </cell>
          <cell r="M70" t="str">
            <v>Credit Suisse</v>
          </cell>
          <cell r="W70">
            <v>25</v>
          </cell>
          <cell r="X70">
            <v>39016</v>
          </cell>
          <cell r="AO70">
            <v>800000000</v>
          </cell>
          <cell r="AP70">
            <v>0</v>
          </cell>
          <cell r="AQ70">
            <v>800000000</v>
          </cell>
          <cell r="BL70">
            <v>4212</v>
          </cell>
          <cell r="DZ70">
            <v>4917</v>
          </cell>
          <cell r="ED70">
            <v>375586854.46009392</v>
          </cell>
          <cell r="EF70">
            <v>7.4491956521739136E-2</v>
          </cell>
          <cell r="EH70">
            <v>0.14214073369565217</v>
          </cell>
          <cell r="EJ70">
            <v>0.47463559782608694</v>
          </cell>
          <cell r="EL70">
            <v>0.30873171195652171</v>
          </cell>
          <cell r="EQ70" t="str">
            <v>Carnes e Derivados</v>
          </cell>
        </row>
        <row r="71">
          <cell r="A71" t="str">
            <v>BRASCAN RES</v>
          </cell>
          <cell r="C71" t="str">
            <v>NM</v>
          </cell>
          <cell r="F71" t="str">
            <v>IPO</v>
          </cell>
          <cell r="G71" t="str">
            <v>ICVM 400</v>
          </cell>
          <cell r="J71">
            <v>39013</v>
          </cell>
          <cell r="M71" t="str">
            <v>Credit Suisse</v>
          </cell>
          <cell r="W71">
            <v>16</v>
          </cell>
          <cell r="X71">
            <v>39009</v>
          </cell>
          <cell r="AO71">
            <v>940000000</v>
          </cell>
          <cell r="AP71">
            <v>248000000</v>
          </cell>
          <cell r="AQ71">
            <v>1188000000</v>
          </cell>
          <cell r="BL71">
            <v>4272</v>
          </cell>
          <cell r="DZ71">
            <v>4735</v>
          </cell>
          <cell r="ED71">
            <v>555140186.91588783</v>
          </cell>
          <cell r="EF71">
            <v>7.0529252525252523E-2</v>
          </cell>
          <cell r="EH71">
            <v>5.0653804713804713E-2</v>
          </cell>
          <cell r="EJ71">
            <v>0.87445925925925927</v>
          </cell>
          <cell r="EL71">
            <v>4.3576835016835014E-3</v>
          </cell>
          <cell r="EQ71" t="str">
            <v>Construção Civil</v>
          </cell>
        </row>
        <row r="72">
          <cell r="A72" t="str">
            <v>PROFARMA</v>
          </cell>
          <cell r="C72" t="str">
            <v>NM</v>
          </cell>
          <cell r="F72" t="str">
            <v>IPO</v>
          </cell>
          <cell r="G72" t="str">
            <v>ICVM 400</v>
          </cell>
          <cell r="J72">
            <v>39016</v>
          </cell>
          <cell r="M72" t="str">
            <v>Credit Suisse</v>
          </cell>
          <cell r="W72">
            <v>22.5</v>
          </cell>
          <cell r="X72">
            <v>39014</v>
          </cell>
          <cell r="AO72">
            <v>310500000</v>
          </cell>
          <cell r="AP72">
            <v>90562500</v>
          </cell>
          <cell r="AQ72">
            <v>401062500</v>
          </cell>
          <cell r="BL72">
            <v>4514</v>
          </cell>
          <cell r="DZ72">
            <v>4995</v>
          </cell>
          <cell r="ED72">
            <v>188292253.52112678</v>
          </cell>
          <cell r="EF72">
            <v>8.9045049088359043E-2</v>
          </cell>
          <cell r="EH72">
            <v>0.20718092566619917</v>
          </cell>
          <cell r="EJ72">
            <v>0.70000706872370266</v>
          </cell>
          <cell r="EL72">
            <v>3.7669565217391303E-3</v>
          </cell>
          <cell r="EQ72" t="str">
            <v>Medicamentos</v>
          </cell>
        </row>
        <row r="73">
          <cell r="A73" t="str">
            <v>TERNA PART</v>
          </cell>
          <cell r="C73" t="str">
            <v>N2</v>
          </cell>
          <cell r="F73" t="str">
            <v>IPO</v>
          </cell>
          <cell r="G73" t="str">
            <v>ICVM 400</v>
          </cell>
          <cell r="J73">
            <v>39017</v>
          </cell>
          <cell r="M73" t="str">
            <v>Itaú BBA</v>
          </cell>
          <cell r="W73">
            <v>21</v>
          </cell>
          <cell r="X73">
            <v>39015</v>
          </cell>
          <cell r="AO73">
            <v>371360304</v>
          </cell>
          <cell r="AP73">
            <v>255310209</v>
          </cell>
          <cell r="AQ73">
            <v>626670513</v>
          </cell>
          <cell r="BL73">
            <v>6258</v>
          </cell>
          <cell r="DZ73">
            <v>7326</v>
          </cell>
          <cell r="ED73">
            <v>294211508.45070422</v>
          </cell>
          <cell r="EF73">
            <v>7.8950110103552934E-2</v>
          </cell>
          <cell r="EH73">
            <v>0.23453110677955258</v>
          </cell>
          <cell r="EJ73">
            <v>0.64922140352884294</v>
          </cell>
          <cell r="EL73">
            <v>3.7297379588051557E-2</v>
          </cell>
          <cell r="EQ73" t="str">
            <v>Energia Elétrica</v>
          </cell>
        </row>
        <row r="74">
          <cell r="A74" t="str">
            <v>ECODIESEL</v>
          </cell>
          <cell r="C74" t="str">
            <v>NM</v>
          </cell>
          <cell r="F74" t="str">
            <v>IPO</v>
          </cell>
          <cell r="G74" t="str">
            <v>ICVM 400</v>
          </cell>
          <cell r="J74">
            <v>39043</v>
          </cell>
          <cell r="M74" t="str">
            <v>Banco Fator</v>
          </cell>
          <cell r="W74">
            <v>12</v>
          </cell>
          <cell r="X74">
            <v>39030</v>
          </cell>
          <cell r="AO74">
            <v>378932220</v>
          </cell>
          <cell r="AP74">
            <v>0</v>
          </cell>
          <cell r="AQ74">
            <v>378932220</v>
          </cell>
          <cell r="BL74">
            <v>9315</v>
          </cell>
          <cell r="DZ74">
            <v>9841</v>
          </cell>
          <cell r="ED74">
            <v>175431583.33333331</v>
          </cell>
          <cell r="EF74">
            <v>8.6182270104504452E-2</v>
          </cell>
          <cell r="EH74">
            <v>0.23107584202900358</v>
          </cell>
          <cell r="EJ74">
            <v>0.59089254472689401</v>
          </cell>
          <cell r="EL74">
            <v>9.1849343139598E-2</v>
          </cell>
          <cell r="EQ74" t="str">
            <v>Exploração e/ou Refino</v>
          </cell>
        </row>
        <row r="75">
          <cell r="A75" t="str">
            <v>ODONTOPREV</v>
          </cell>
          <cell r="C75" t="str">
            <v>NM</v>
          </cell>
          <cell r="F75" t="str">
            <v>IPO</v>
          </cell>
          <cell r="G75" t="str">
            <v>ICVM 400</v>
          </cell>
          <cell r="J75">
            <v>39052</v>
          </cell>
          <cell r="M75" t="str">
            <v>Itaú BBA</v>
          </cell>
          <cell r="W75">
            <v>28</v>
          </cell>
          <cell r="X75">
            <v>39050</v>
          </cell>
          <cell r="AO75">
            <v>161913052</v>
          </cell>
          <cell r="AP75">
            <v>360118192</v>
          </cell>
          <cell r="AQ75">
            <v>522031244</v>
          </cell>
          <cell r="BL75">
            <v>8675</v>
          </cell>
          <cell r="DZ75">
            <v>9772</v>
          </cell>
          <cell r="ED75">
            <v>240900435.62528843</v>
          </cell>
          <cell r="EF75">
            <v>8.8629446094992737E-2</v>
          </cell>
          <cell r="EH75">
            <v>0.25896213215927744</v>
          </cell>
          <cell r="EJ75">
            <v>0.62709251938950994</v>
          </cell>
          <cell r="EL75">
            <v>2.5315902356219888E-2</v>
          </cell>
          <cell r="EQ75" t="str">
            <v>Serv. Méd. Hospit., Análises e Diagnósticos</v>
          </cell>
        </row>
        <row r="76">
          <cell r="A76" t="str">
            <v>POSITIVO INF</v>
          </cell>
          <cell r="C76" t="str">
            <v>NM</v>
          </cell>
          <cell r="F76" t="str">
            <v>IPO</v>
          </cell>
          <cell r="G76" t="str">
            <v>ICVM 400</v>
          </cell>
          <cell r="J76">
            <v>39062</v>
          </cell>
          <cell r="M76" t="str">
            <v>UBS</v>
          </cell>
          <cell r="W76">
            <v>23.5</v>
          </cell>
          <cell r="X76">
            <v>39058</v>
          </cell>
          <cell r="AO76">
            <v>65800000</v>
          </cell>
          <cell r="AP76">
            <v>538312150</v>
          </cell>
          <cell r="AQ76">
            <v>604112150</v>
          </cell>
          <cell r="BL76">
            <v>18466</v>
          </cell>
          <cell r="DZ76">
            <v>19543</v>
          </cell>
          <cell r="ED76">
            <v>282506617.09689492</v>
          </cell>
          <cell r="EF76">
            <v>9.3250077448747151E-2</v>
          </cell>
          <cell r="EH76">
            <v>0.25465326651480635</v>
          </cell>
          <cell r="EJ76">
            <v>0.64184878359908881</v>
          </cell>
          <cell r="EL76">
            <v>1.0247872437357631E-2</v>
          </cell>
          <cell r="EQ76" t="str">
            <v>Computadores e Equipamentos</v>
          </cell>
        </row>
        <row r="77">
          <cell r="A77" t="str">
            <v>SAO CARLOS</v>
          </cell>
          <cell r="C77" t="str">
            <v>NM</v>
          </cell>
          <cell r="F77" t="str">
            <v>FOLLOW-ON</v>
          </cell>
          <cell r="G77" t="str">
            <v>ICVM 400</v>
          </cell>
          <cell r="J77">
            <v>39065</v>
          </cell>
          <cell r="M77" t="str">
            <v>Credit Suisse</v>
          </cell>
          <cell r="W77">
            <v>19.5</v>
          </cell>
          <cell r="X77">
            <v>39063</v>
          </cell>
          <cell r="AO77">
            <v>341250000</v>
          </cell>
          <cell r="AP77">
            <v>139670017.5</v>
          </cell>
          <cell r="AQ77">
            <v>480920017.5</v>
          </cell>
          <cell r="BL77">
            <v>6445</v>
          </cell>
          <cell r="DZ77">
            <v>6821</v>
          </cell>
          <cell r="ED77">
            <v>224100660.53122088</v>
          </cell>
          <cell r="EF77">
            <v>0.10242878718918334</v>
          </cell>
          <cell r="EH77">
            <v>0.10451032085040707</v>
          </cell>
          <cell r="EJ77">
            <v>0.74529113628097421</v>
          </cell>
          <cell r="EL77">
            <v>4.7769755679435436E-2</v>
          </cell>
          <cell r="EQ77" t="str">
            <v>Exploração de Imóveis</v>
          </cell>
        </row>
        <row r="78">
          <cell r="A78" t="str">
            <v>LOPES BRASIL</v>
          </cell>
          <cell r="C78" t="str">
            <v>NM</v>
          </cell>
          <cell r="F78" t="str">
            <v>IPO</v>
          </cell>
          <cell r="G78" t="str">
            <v>ICVM 400</v>
          </cell>
          <cell r="J78">
            <v>39069</v>
          </cell>
          <cell r="M78" t="str">
            <v>UBS</v>
          </cell>
          <cell r="W78">
            <v>20</v>
          </cell>
          <cell r="X78">
            <v>39065</v>
          </cell>
          <cell r="AO78">
            <v>0</v>
          </cell>
          <cell r="AP78">
            <v>474720000</v>
          </cell>
          <cell r="AQ78">
            <v>474720000</v>
          </cell>
          <cell r="BL78">
            <v>9803</v>
          </cell>
          <cell r="DZ78">
            <v>10438</v>
          </cell>
          <cell r="ED78">
            <v>221108523.52119237</v>
          </cell>
          <cell r="EF78">
            <v>0.1081038506909336</v>
          </cell>
          <cell r="EH78">
            <v>0.17753437815975734</v>
          </cell>
          <cell r="EJ78">
            <v>0.71061151836872261</v>
          </cell>
          <cell r="EL78">
            <v>3.7502527805864509E-3</v>
          </cell>
          <cell r="EQ78" t="str">
            <v>Intermediação Imobiliária</v>
          </cell>
        </row>
        <row r="79">
          <cell r="A79" t="str">
            <v>DUFRYBRAS</v>
          </cell>
          <cell r="C79" t="str">
            <v>BDR</v>
          </cell>
          <cell r="F79" t="str">
            <v>IPO</v>
          </cell>
          <cell r="G79" t="str">
            <v>ICVM 400</v>
          </cell>
          <cell r="J79">
            <v>39071</v>
          </cell>
          <cell r="M79" t="str">
            <v>UBS</v>
          </cell>
          <cell r="W79">
            <v>26.84</v>
          </cell>
          <cell r="X79">
            <v>39069</v>
          </cell>
          <cell r="AO79">
            <v>0</v>
          </cell>
          <cell r="AP79">
            <v>849754936.79999995</v>
          </cell>
          <cell r="AQ79">
            <v>849754936.79999995</v>
          </cell>
          <cell r="BL79">
            <v>10039</v>
          </cell>
          <cell r="DZ79">
            <v>10805</v>
          </cell>
          <cell r="ED79">
            <v>394904236.82498366</v>
          </cell>
          <cell r="EF79">
            <v>9.8349116646167634E-2</v>
          </cell>
          <cell r="EH79">
            <v>0.20742772746195359</v>
          </cell>
          <cell r="EJ79">
            <v>0.69013348696557997</v>
          </cell>
          <cell r="EL79">
            <v>4.0896689262988461E-3</v>
          </cell>
          <cell r="EQ79" t="str">
            <v>Produtos Diversos</v>
          </cell>
        </row>
        <row r="80">
          <cell r="A80" t="str">
            <v>PDG REALT</v>
          </cell>
          <cell r="C80" t="str">
            <v>NM</v>
          </cell>
          <cell r="F80" t="str">
            <v>IPO</v>
          </cell>
          <cell r="G80" t="str">
            <v>ICVM 400</v>
          </cell>
          <cell r="J80">
            <v>39108</v>
          </cell>
          <cell r="M80" t="str">
            <v>UBS</v>
          </cell>
          <cell r="W80">
            <v>14</v>
          </cell>
          <cell r="X80">
            <v>39106</v>
          </cell>
          <cell r="AO80">
            <v>432263062</v>
          </cell>
          <cell r="AP80">
            <v>216131538</v>
          </cell>
          <cell r="AQ80">
            <v>648394600</v>
          </cell>
          <cell r="BL80">
            <v>11826</v>
          </cell>
          <cell r="DZ80">
            <v>12422</v>
          </cell>
          <cell r="ED80">
            <v>303555524.34456927</v>
          </cell>
          <cell r="EF80">
            <v>9.4026454106280188E-2</v>
          </cell>
          <cell r="EH80">
            <v>6.179400966183575E-2</v>
          </cell>
          <cell r="EJ80">
            <v>0.8359644444444444</v>
          </cell>
          <cell r="EL80">
            <v>8.2150917874396143E-3</v>
          </cell>
          <cell r="EQ80" t="str">
            <v>Construção Civil</v>
          </cell>
        </row>
        <row r="81">
          <cell r="A81" t="str">
            <v>RODOBENSIMOB</v>
          </cell>
          <cell r="C81" t="str">
            <v>NM</v>
          </cell>
          <cell r="F81" t="str">
            <v>IPO</v>
          </cell>
          <cell r="G81" t="str">
            <v>ICVM 400</v>
          </cell>
          <cell r="J81">
            <v>39113</v>
          </cell>
          <cell r="M81" t="str">
            <v>JP Morgan</v>
          </cell>
          <cell r="W81">
            <v>19.5</v>
          </cell>
          <cell r="X81">
            <v>39111</v>
          </cell>
          <cell r="AO81">
            <v>448500000</v>
          </cell>
          <cell r="AP81">
            <v>0</v>
          </cell>
          <cell r="AQ81">
            <v>448500000</v>
          </cell>
          <cell r="BL81">
            <v>13963</v>
          </cell>
          <cell r="DZ81">
            <v>14782</v>
          </cell>
          <cell r="ED81">
            <v>211556603.7735849</v>
          </cell>
          <cell r="EF81">
            <v>0.10657260869565217</v>
          </cell>
          <cell r="EH81">
            <v>0.22176391304347826</v>
          </cell>
          <cell r="EJ81">
            <v>0.66993608695652174</v>
          </cell>
          <cell r="EL81">
            <v>1.727391304347826E-3</v>
          </cell>
          <cell r="EQ81" t="str">
            <v>Construção Civil</v>
          </cell>
        </row>
        <row r="82">
          <cell r="A82" t="str">
            <v>CC DES IMOB</v>
          </cell>
          <cell r="C82" t="str">
            <v>NM</v>
          </cell>
          <cell r="F82" t="str">
            <v>IPO</v>
          </cell>
          <cell r="G82" t="str">
            <v>ICVM 400</v>
          </cell>
          <cell r="J82">
            <v>39113</v>
          </cell>
          <cell r="M82" t="str">
            <v>Credit Suisse</v>
          </cell>
          <cell r="W82">
            <v>14.5</v>
          </cell>
          <cell r="X82">
            <v>39111</v>
          </cell>
          <cell r="AO82">
            <v>478500000</v>
          </cell>
          <cell r="AP82">
            <v>43499985.5</v>
          </cell>
          <cell r="AQ82">
            <v>521999985.5</v>
          </cell>
          <cell r="BL82">
            <v>22002</v>
          </cell>
          <cell r="DZ82">
            <v>23552</v>
          </cell>
          <cell r="ED82">
            <v>245681736.48044431</v>
          </cell>
          <cell r="EF82">
            <v>0.1277443026025194</v>
          </cell>
          <cell r="EH82">
            <v>0.3806971831086276</v>
          </cell>
          <cell r="EJ82">
            <v>0.48324986674516585</v>
          </cell>
          <cell r="EL82">
            <v>8.3086475436871393E-3</v>
          </cell>
          <cell r="EQ82" t="str">
            <v>Construção Civil</v>
          </cell>
        </row>
        <row r="83">
          <cell r="A83" t="str">
            <v>TECNISA</v>
          </cell>
          <cell r="C83" t="str">
            <v>NM</v>
          </cell>
          <cell r="F83" t="str">
            <v>IPO</v>
          </cell>
          <cell r="G83" t="str">
            <v>ICVM 400</v>
          </cell>
          <cell r="J83">
            <v>39114</v>
          </cell>
          <cell r="M83" t="str">
            <v>Credit Suisse</v>
          </cell>
          <cell r="W83">
            <v>13</v>
          </cell>
          <cell r="X83">
            <v>39112</v>
          </cell>
          <cell r="AO83">
            <v>590652257</v>
          </cell>
          <cell r="AP83">
            <v>200650827</v>
          </cell>
          <cell r="AQ83">
            <v>791303084</v>
          </cell>
          <cell r="BL83">
            <v>17187</v>
          </cell>
          <cell r="DZ83">
            <v>18216</v>
          </cell>
          <cell r="ED83">
            <v>372430500.30592555</v>
          </cell>
          <cell r="EF83">
            <v>0.10218897778807874</v>
          </cell>
          <cell r="EH83">
            <v>0.17260137616220186</v>
          </cell>
          <cell r="EJ83">
            <v>0.59367600702446843</v>
          </cell>
          <cell r="EL83">
            <v>0.131533639025251</v>
          </cell>
          <cell r="EQ83" t="str">
            <v>Construção Civil</v>
          </cell>
        </row>
        <row r="84">
          <cell r="A84" t="str">
            <v>IGUATEMI</v>
          </cell>
          <cell r="C84" t="str">
            <v>NM</v>
          </cell>
          <cell r="F84" t="str">
            <v>IPO</v>
          </cell>
          <cell r="G84" t="str">
            <v>ICVM 400</v>
          </cell>
          <cell r="J84">
            <v>39120</v>
          </cell>
          <cell r="M84" t="str">
            <v>Santander</v>
          </cell>
          <cell r="W84">
            <v>30</v>
          </cell>
          <cell r="X84">
            <v>39118</v>
          </cell>
          <cell r="AO84">
            <v>548677440</v>
          </cell>
          <cell r="AP84">
            <v>0</v>
          </cell>
          <cell r="AQ84">
            <v>548677440</v>
          </cell>
          <cell r="BL84">
            <v>16710</v>
          </cell>
          <cell r="DZ84">
            <v>18100</v>
          </cell>
          <cell r="ED84">
            <v>263154647.48201439</v>
          </cell>
          <cell r="EF84">
            <v>9.1357610766719333E-2</v>
          </cell>
          <cell r="EH84">
            <v>0.1796770977133669</v>
          </cell>
          <cell r="EJ84">
            <v>0.72439976755741953</v>
          </cell>
          <cell r="EL84">
            <v>4.5655239624942476E-3</v>
          </cell>
          <cell r="EQ84" t="str">
            <v>Exploração de Imóveis</v>
          </cell>
        </row>
        <row r="85">
          <cell r="A85" t="str">
            <v>EMBRAER</v>
          </cell>
          <cell r="C85" t="str">
            <v>NM</v>
          </cell>
          <cell r="F85" t="str">
            <v>FOLLOW-ON</v>
          </cell>
          <cell r="G85" t="str">
            <v>ICVM 400</v>
          </cell>
          <cell r="J85">
            <v>39121</v>
          </cell>
          <cell r="M85" t="str">
            <v>JP Morgan</v>
          </cell>
          <cell r="W85">
            <v>21.35</v>
          </cell>
          <cell r="X85">
            <v>39119</v>
          </cell>
          <cell r="AO85">
            <v>0</v>
          </cell>
          <cell r="AP85">
            <v>1789970677.6000001</v>
          </cell>
          <cell r="AQ85">
            <v>1789970677.6000001</v>
          </cell>
          <cell r="BL85">
            <v>3936</v>
          </cell>
          <cell r="DZ85">
            <v>4278</v>
          </cell>
          <cell r="ED85">
            <v>854360497.16004014</v>
          </cell>
          <cell r="EF85">
            <v>2.0537318884625285E-2</v>
          </cell>
          <cell r="EH85">
            <v>9.8686695855179057E-2</v>
          </cell>
          <cell r="EJ85">
            <v>0.88041722781906206</v>
          </cell>
          <cell r="EL85">
            <v>3.5875744113362677E-4</v>
          </cell>
          <cell r="EQ85" t="str">
            <v>Material Aeronáutico</v>
          </cell>
        </row>
        <row r="86">
          <cell r="A86" t="str">
            <v>SUZANO PAPEL</v>
          </cell>
          <cell r="C86" t="str">
            <v>N1</v>
          </cell>
          <cell r="F86" t="str">
            <v>FOLLOW-ON</v>
          </cell>
          <cell r="G86" t="str">
            <v>ICVM 400</v>
          </cell>
          <cell r="J86">
            <v>39122</v>
          </cell>
          <cell r="M86" t="str">
            <v>Credit Suisse</v>
          </cell>
          <cell r="W86">
            <v>23</v>
          </cell>
          <cell r="X86">
            <v>39120</v>
          </cell>
          <cell r="AO86">
            <v>0</v>
          </cell>
          <cell r="AP86">
            <v>543696011</v>
          </cell>
          <cell r="AQ86">
            <v>543696011</v>
          </cell>
          <cell r="BL86">
            <v>2866</v>
          </cell>
          <cell r="DZ86">
            <v>3144</v>
          </cell>
          <cell r="ED86">
            <v>259508381.9388096</v>
          </cell>
          <cell r="EF86">
            <v>9.8276757921180652E-2</v>
          </cell>
          <cell r="EH86">
            <v>0.3183769796794188</v>
          </cell>
          <cell r="EJ86">
            <v>0.57541731678623453</v>
          </cell>
          <cell r="EL86">
            <v>7.9289456131660038E-3</v>
          </cell>
          <cell r="EQ86" t="str">
            <v>Papel e Celulose</v>
          </cell>
        </row>
        <row r="87">
          <cell r="A87" t="str">
            <v>SAO MARTINHO</v>
          </cell>
          <cell r="C87" t="str">
            <v>NM</v>
          </cell>
          <cell r="F87" t="str">
            <v>IPO</v>
          </cell>
          <cell r="G87" t="str">
            <v>ICVM 400</v>
          </cell>
          <cell r="J87">
            <v>39125</v>
          </cell>
          <cell r="M87" t="str">
            <v>UBS</v>
          </cell>
          <cell r="W87">
            <v>20</v>
          </cell>
          <cell r="X87">
            <v>39121</v>
          </cell>
          <cell r="AO87">
            <v>260000000</v>
          </cell>
          <cell r="AP87">
            <v>163680000</v>
          </cell>
          <cell r="AQ87">
            <v>423680000</v>
          </cell>
          <cell r="BL87">
            <v>24369</v>
          </cell>
          <cell r="DZ87">
            <v>25864</v>
          </cell>
          <cell r="ED87">
            <v>200416272.46925262</v>
          </cell>
          <cell r="EF87">
            <v>0.1025470166163142</v>
          </cell>
          <cell r="EH87">
            <v>0.28305664652567974</v>
          </cell>
          <cell r="EJ87">
            <v>0.5342703455438067</v>
          </cell>
          <cell r="EL87">
            <v>8.0125991314199396E-2</v>
          </cell>
          <cell r="EQ87" t="str">
            <v>Alimentos Diversos</v>
          </cell>
        </row>
        <row r="88">
          <cell r="A88" t="str">
            <v>GVT HOLDING</v>
          </cell>
          <cell r="C88" t="str">
            <v>NM</v>
          </cell>
          <cell r="F88" t="str">
            <v>IPO</v>
          </cell>
          <cell r="G88" t="str">
            <v>ICVM 400</v>
          </cell>
          <cell r="J88">
            <v>39129</v>
          </cell>
          <cell r="M88" t="str">
            <v>Credit Suisse</v>
          </cell>
          <cell r="W88">
            <v>18</v>
          </cell>
          <cell r="X88">
            <v>39127</v>
          </cell>
          <cell r="AO88">
            <v>1076400000</v>
          </cell>
          <cell r="AP88">
            <v>0</v>
          </cell>
          <cell r="AQ88">
            <v>1076400000</v>
          </cell>
          <cell r="BL88">
            <v>14427</v>
          </cell>
          <cell r="DZ88">
            <v>15645</v>
          </cell>
          <cell r="ED88">
            <v>514703772.77291638</v>
          </cell>
          <cell r="EF88">
            <v>9.1264498327759194E-2</v>
          </cell>
          <cell r="EH88">
            <v>0.14677496655518393</v>
          </cell>
          <cell r="EJ88">
            <v>0.75946956521739128</v>
          </cell>
          <cell r="EL88">
            <v>2.4909698996655517E-3</v>
          </cell>
          <cell r="EQ88" t="str">
            <v>Telefonia Fixa</v>
          </cell>
        </row>
        <row r="89">
          <cell r="A89" t="str">
            <v>ANHANGUERA</v>
          </cell>
          <cell r="C89" t="str">
            <v>N2</v>
          </cell>
          <cell r="F89" t="str">
            <v>IPO</v>
          </cell>
          <cell r="G89" t="str">
            <v>ICVM 400</v>
          </cell>
          <cell r="J89">
            <v>39153</v>
          </cell>
          <cell r="M89" t="str">
            <v>Credit Suisse</v>
          </cell>
          <cell r="W89">
            <v>18</v>
          </cell>
          <cell r="X89">
            <v>39149</v>
          </cell>
          <cell r="AO89">
            <v>426825000</v>
          </cell>
          <cell r="AP89">
            <v>85500000</v>
          </cell>
          <cell r="AQ89">
            <v>512325000</v>
          </cell>
          <cell r="BL89">
            <v>13593</v>
          </cell>
          <cell r="DZ89">
            <v>14651</v>
          </cell>
          <cell r="ED89">
            <v>244979199.54095539</v>
          </cell>
          <cell r="EF89">
            <v>9.0977953447518661E-2</v>
          </cell>
          <cell r="EH89">
            <v>0.1501190689503733</v>
          </cell>
          <cell r="EJ89">
            <v>0.75558208168642949</v>
          </cell>
          <cell r="EL89">
            <v>3.3208959156785242E-3</v>
          </cell>
          <cell r="EQ89" t="str">
            <v>Serviços Educacionais</v>
          </cell>
        </row>
        <row r="90">
          <cell r="A90" t="str">
            <v>GAFISA</v>
          </cell>
          <cell r="C90" t="str">
            <v>NM</v>
          </cell>
          <cell r="F90" t="str">
            <v>FOLLOW-ON</v>
          </cell>
          <cell r="G90" t="str">
            <v>ICVM 400</v>
          </cell>
          <cell r="J90">
            <v>39157</v>
          </cell>
          <cell r="M90" t="str">
            <v>Merrill Lynch</v>
          </cell>
          <cell r="W90">
            <v>26</v>
          </cell>
          <cell r="X90">
            <v>39156</v>
          </cell>
          <cell r="AO90">
            <v>487811792</v>
          </cell>
          <cell r="AP90">
            <v>683493174</v>
          </cell>
          <cell r="AQ90">
            <v>1171304966</v>
          </cell>
          <cell r="BL90">
            <v>5179</v>
          </cell>
          <cell r="DZ90">
            <v>5527</v>
          </cell>
          <cell r="ED90">
            <v>560084620.09276533</v>
          </cell>
          <cell r="EF90">
            <v>1.7998182075049541E-2</v>
          </cell>
          <cell r="EH90">
            <v>4.4139026804235468E-2</v>
          </cell>
          <cell r="EJ90">
            <v>0.92686157975286365</v>
          </cell>
          <cell r="EL90">
            <v>1.1001211367851359E-2</v>
          </cell>
          <cell r="EQ90" t="str">
            <v>Construção Civil</v>
          </cell>
        </row>
        <row r="91">
          <cell r="A91" t="str">
            <v>JBS</v>
          </cell>
          <cell r="C91" t="str">
            <v>NM</v>
          </cell>
          <cell r="F91" t="str">
            <v>IPO</v>
          </cell>
          <cell r="G91" t="str">
            <v>ICVM 400</v>
          </cell>
          <cell r="J91">
            <v>39170</v>
          </cell>
          <cell r="M91" t="str">
            <v>JP Morgan</v>
          </cell>
          <cell r="W91">
            <v>8</v>
          </cell>
          <cell r="X91">
            <v>39168</v>
          </cell>
          <cell r="AO91">
            <v>1216750400</v>
          </cell>
          <cell r="AP91">
            <v>400000000</v>
          </cell>
          <cell r="AQ91">
            <v>1616750400</v>
          </cell>
          <cell r="BL91">
            <v>22662</v>
          </cell>
          <cell r="DZ91">
            <v>23690</v>
          </cell>
          <cell r="ED91">
            <v>787122882.18111014</v>
          </cell>
          <cell r="EF91">
            <v>8.7549017391304343E-2</v>
          </cell>
          <cell r="EH91">
            <v>0.13164175217391305</v>
          </cell>
          <cell r="EJ91">
            <v>0.74229666086956525</v>
          </cell>
          <cell r="EL91">
            <v>3.851256956521739E-2</v>
          </cell>
          <cell r="EQ91" t="str">
            <v>Carnes e Derivados</v>
          </cell>
        </row>
        <row r="92">
          <cell r="A92" t="str">
            <v>PINE</v>
          </cell>
          <cell r="C92" t="str">
            <v>N1</v>
          </cell>
          <cell r="F92" t="str">
            <v>IPO</v>
          </cell>
          <cell r="G92" t="str">
            <v>ICVM 400</v>
          </cell>
          <cell r="J92">
            <v>39174</v>
          </cell>
          <cell r="M92" t="str">
            <v>Credit Suisse</v>
          </cell>
          <cell r="W92">
            <v>19</v>
          </cell>
          <cell r="X92">
            <v>39169</v>
          </cell>
          <cell r="AO92">
            <v>356859900</v>
          </cell>
          <cell r="AP92">
            <v>160328365</v>
          </cell>
          <cell r="AQ92">
            <v>517188265</v>
          </cell>
          <cell r="BL92">
            <v>20007</v>
          </cell>
          <cell r="DZ92">
            <v>20668</v>
          </cell>
          <cell r="ED92">
            <v>252656700.04885197</v>
          </cell>
          <cell r="EF92">
            <v>8.7947833309374349E-2</v>
          </cell>
          <cell r="EH92">
            <v>0.12637973389557078</v>
          </cell>
          <cell r="EJ92">
            <v>0.7844617055600811</v>
          </cell>
          <cell r="EL92">
            <v>1.2107272349737249E-3</v>
          </cell>
          <cell r="EQ92" t="str">
            <v>Bancos</v>
          </cell>
        </row>
        <row r="93">
          <cell r="A93" t="str">
            <v>EVEN</v>
          </cell>
          <cell r="C93" t="str">
            <v>NM</v>
          </cell>
          <cell r="F93" t="str">
            <v>IPO</v>
          </cell>
          <cell r="G93" t="str">
            <v>ICVM 400</v>
          </cell>
          <cell r="J93">
            <v>39174</v>
          </cell>
          <cell r="M93" t="str">
            <v>Itaú BBA</v>
          </cell>
          <cell r="W93">
            <v>11.5</v>
          </cell>
          <cell r="X93">
            <v>39170</v>
          </cell>
          <cell r="AO93">
            <v>460000000</v>
          </cell>
          <cell r="AP93">
            <v>0</v>
          </cell>
          <cell r="AQ93">
            <v>460000000</v>
          </cell>
          <cell r="BL93">
            <v>11251</v>
          </cell>
          <cell r="DZ93">
            <v>11634</v>
          </cell>
          <cell r="ED93">
            <v>224719101.12359548</v>
          </cell>
          <cell r="EF93">
            <v>9.8570649999999996E-2</v>
          </cell>
          <cell r="EH93">
            <v>0.20146249999999999</v>
          </cell>
          <cell r="EJ93">
            <v>0.52511792499999999</v>
          </cell>
          <cell r="EL93">
            <v>0.17484892499999999</v>
          </cell>
          <cell r="EQ93" t="str">
            <v>Construção Civil</v>
          </cell>
        </row>
        <row r="94">
          <cell r="A94" t="str">
            <v>BR MALLS PAR</v>
          </cell>
          <cell r="C94" t="str">
            <v>NM</v>
          </cell>
          <cell r="F94" t="str">
            <v>IPO</v>
          </cell>
          <cell r="G94" t="str">
            <v>ICVM 400</v>
          </cell>
          <cell r="J94">
            <v>39177</v>
          </cell>
          <cell r="M94" t="str">
            <v>UBS</v>
          </cell>
          <cell r="W94">
            <v>15</v>
          </cell>
          <cell r="X94">
            <v>39174</v>
          </cell>
          <cell r="AO94">
            <v>657118665</v>
          </cell>
          <cell r="AP94">
            <v>0</v>
          </cell>
          <cell r="AQ94">
            <v>657118665</v>
          </cell>
          <cell r="BL94">
            <v>13777</v>
          </cell>
          <cell r="DZ94">
            <v>14518</v>
          </cell>
          <cell r="ED94">
            <v>323703775.86206901</v>
          </cell>
          <cell r="EF94">
            <v>0.10142228878442967</v>
          </cell>
          <cell r="EH94">
            <v>0.21606554127661737</v>
          </cell>
          <cell r="EJ94">
            <v>0.68097424418826791</v>
          </cell>
          <cell r="EL94">
            <v>1.5379257506850975E-3</v>
          </cell>
          <cell r="EQ94" t="str">
            <v>Exploração de Imóveis</v>
          </cell>
        </row>
        <row r="95">
          <cell r="A95" t="str">
            <v>FER HERINGER</v>
          </cell>
          <cell r="C95" t="str">
            <v>NM</v>
          </cell>
          <cell r="F95" t="str">
            <v>IPO</v>
          </cell>
          <cell r="G95" t="str">
            <v>ICVM 400</v>
          </cell>
          <cell r="J95">
            <v>39184</v>
          </cell>
          <cell r="M95" t="str">
            <v>UBS</v>
          </cell>
          <cell r="W95">
            <v>17</v>
          </cell>
          <cell r="X95">
            <v>39182</v>
          </cell>
          <cell r="AO95">
            <v>203163056</v>
          </cell>
          <cell r="AP95">
            <v>146414302</v>
          </cell>
          <cell r="AQ95">
            <v>349577358</v>
          </cell>
          <cell r="BL95">
            <v>9169</v>
          </cell>
          <cell r="DZ95">
            <v>9770</v>
          </cell>
          <cell r="ED95">
            <v>172205595.07389164</v>
          </cell>
          <cell r="EF95">
            <v>0.11210738082184372</v>
          </cell>
          <cell r="EH95">
            <v>0.23125582406855996</v>
          </cell>
          <cell r="EJ95">
            <v>0.65372355723336062</v>
          </cell>
          <cell r="EL95">
            <v>2.9132378762356799E-3</v>
          </cell>
          <cell r="EQ95" t="str">
            <v>Fertilizantes e Defensivos</v>
          </cell>
        </row>
        <row r="96">
          <cell r="A96" t="str">
            <v>JHSF PART</v>
          </cell>
          <cell r="C96" t="str">
            <v>NM</v>
          </cell>
          <cell r="F96" t="str">
            <v>IPO</v>
          </cell>
          <cell r="G96" t="str">
            <v>ICVM 400</v>
          </cell>
          <cell r="J96">
            <v>39184</v>
          </cell>
          <cell r="M96" t="str">
            <v>Credit Suisse</v>
          </cell>
          <cell r="W96">
            <v>8</v>
          </cell>
          <cell r="X96">
            <v>39182</v>
          </cell>
          <cell r="AO96">
            <v>432400000</v>
          </cell>
          <cell r="AP96">
            <v>0</v>
          </cell>
          <cell r="AQ96">
            <v>432400000</v>
          </cell>
          <cell r="BL96">
            <v>4524</v>
          </cell>
          <cell r="DZ96">
            <v>4749</v>
          </cell>
          <cell r="ED96">
            <v>213004926.10837442</v>
          </cell>
          <cell r="EF96">
            <v>8.6073709528214609E-2</v>
          </cell>
          <cell r="EH96">
            <v>1.3013876040703053E-2</v>
          </cell>
          <cell r="EJ96">
            <v>0.89260917668825157</v>
          </cell>
          <cell r="EL96">
            <v>8.3032377428307116E-3</v>
          </cell>
          <cell r="EQ96" t="str">
            <v>Construção Civil</v>
          </cell>
        </row>
        <row r="97">
          <cell r="A97" t="str">
            <v>METALFRIO</v>
          </cell>
          <cell r="C97" t="str">
            <v>NM</v>
          </cell>
          <cell r="F97" t="str">
            <v>IPO</v>
          </cell>
          <cell r="G97" t="str">
            <v>ICVM 400</v>
          </cell>
          <cell r="J97">
            <v>39185</v>
          </cell>
          <cell r="M97" t="str">
            <v>UBS</v>
          </cell>
          <cell r="W97">
            <v>19</v>
          </cell>
          <cell r="X97">
            <v>39183</v>
          </cell>
          <cell r="AO97">
            <v>302280500</v>
          </cell>
          <cell r="AP97">
            <v>150670000</v>
          </cell>
          <cell r="AQ97">
            <v>452950500</v>
          </cell>
          <cell r="BL97">
            <v>9576</v>
          </cell>
          <cell r="DZ97">
            <v>9970</v>
          </cell>
          <cell r="ED97">
            <v>224232920.79207921</v>
          </cell>
          <cell r="EF97">
            <v>8.5067933471759061E-2</v>
          </cell>
          <cell r="EH97">
            <v>0.21442144340275593</v>
          </cell>
          <cell r="EJ97">
            <v>0.56849669665890645</v>
          </cell>
          <cell r="EL97">
            <v>0.13201392646657858</v>
          </cell>
          <cell r="EQ97" t="str">
            <v>Equipamentos Elétricos</v>
          </cell>
        </row>
        <row r="98">
          <cell r="A98" t="str">
            <v>INDS ROMI</v>
          </cell>
          <cell r="C98" t="str">
            <v>NM</v>
          </cell>
          <cell r="F98" t="str">
            <v>FOLLOW-ON</v>
          </cell>
          <cell r="G98" t="str">
            <v>ICVM 400</v>
          </cell>
          <cell r="J98">
            <v>39185</v>
          </cell>
          <cell r="M98" t="str">
            <v>Itaú BBA</v>
          </cell>
          <cell r="W98">
            <v>15</v>
          </cell>
          <cell r="X98">
            <v>39183</v>
          </cell>
          <cell r="AO98">
            <v>242935785</v>
          </cell>
          <cell r="AP98">
            <v>239571885</v>
          </cell>
          <cell r="AQ98">
            <v>482507670</v>
          </cell>
          <cell r="BL98">
            <v>2375</v>
          </cell>
          <cell r="DZ98">
            <v>2668</v>
          </cell>
          <cell r="ED98">
            <v>238865183.16831684</v>
          </cell>
          <cell r="EF98">
            <v>5.3900283077365378E-2</v>
          </cell>
          <cell r="EH98">
            <v>0.17656817766233643</v>
          </cell>
          <cell r="EJ98">
            <v>0.43783759955567131</v>
          </cell>
          <cell r="EL98">
            <v>0.33169393970462685</v>
          </cell>
          <cell r="EQ98" t="str">
            <v>Máquinas e Equipamentos Industriais</v>
          </cell>
        </row>
        <row r="99">
          <cell r="A99" t="str">
            <v>BEMATECH</v>
          </cell>
          <cell r="C99" t="str">
            <v>NM</v>
          </cell>
          <cell r="F99" t="str">
            <v>IPO</v>
          </cell>
          <cell r="G99" t="str">
            <v>ICVM 400</v>
          </cell>
          <cell r="J99">
            <v>39191</v>
          </cell>
          <cell r="M99" t="str">
            <v>Itaú BBA</v>
          </cell>
          <cell r="W99">
            <v>15</v>
          </cell>
          <cell r="X99">
            <v>39189</v>
          </cell>
          <cell r="AO99">
            <v>270000030</v>
          </cell>
          <cell r="AP99">
            <v>136630020</v>
          </cell>
          <cell r="AQ99">
            <v>406630050</v>
          </cell>
          <cell r="BL99">
            <v>8629</v>
          </cell>
          <cell r="DZ99">
            <v>9331</v>
          </cell>
          <cell r="ED99">
            <v>201302004.95049503</v>
          </cell>
          <cell r="EF99">
            <v>8.8202593487618539E-2</v>
          </cell>
          <cell r="EH99">
            <v>0.1961198022625234</v>
          </cell>
          <cell r="EJ99">
            <v>0.70451457043078836</v>
          </cell>
          <cell r="EL99">
            <v>1.1163033819069693E-2</v>
          </cell>
          <cell r="EQ99" t="str">
            <v>Computadores e Equipamentos</v>
          </cell>
        </row>
        <row r="100">
          <cell r="A100" t="str">
            <v>CR2</v>
          </cell>
          <cell r="C100" t="str">
            <v>NM</v>
          </cell>
          <cell r="F100" t="str">
            <v>IPO</v>
          </cell>
          <cell r="G100" t="str">
            <v>ICVM 400</v>
          </cell>
          <cell r="J100">
            <v>39195</v>
          </cell>
          <cell r="M100" t="str">
            <v>Unibanco</v>
          </cell>
          <cell r="W100">
            <v>20</v>
          </cell>
          <cell r="X100">
            <v>39191</v>
          </cell>
          <cell r="AO100">
            <v>307575000</v>
          </cell>
          <cell r="AP100">
            <v>0</v>
          </cell>
          <cell r="AQ100">
            <v>307575000</v>
          </cell>
          <cell r="BL100">
            <v>2755</v>
          </cell>
          <cell r="DZ100">
            <v>2926</v>
          </cell>
          <cell r="ED100">
            <v>151514778.32512316</v>
          </cell>
          <cell r="EF100">
            <v>7.4582784686661796E-2</v>
          </cell>
          <cell r="EH100">
            <v>0</v>
          </cell>
          <cell r="EJ100">
            <v>0</v>
          </cell>
          <cell r="EL100">
            <v>0.9254172153133382</v>
          </cell>
          <cell r="EQ100" t="str">
            <v>Construção Civil</v>
          </cell>
        </row>
        <row r="101">
          <cell r="A101" t="str">
            <v>AGRA INCORP</v>
          </cell>
          <cell r="C101" t="str">
            <v>NM</v>
          </cell>
          <cell r="F101" t="str">
            <v>IPO</v>
          </cell>
          <cell r="G101" t="str">
            <v>ICVM 400</v>
          </cell>
          <cell r="J101">
            <v>39198</v>
          </cell>
          <cell r="M101" t="str">
            <v>Credit Suisse</v>
          </cell>
          <cell r="W101">
            <v>8.5</v>
          </cell>
          <cell r="X101">
            <v>39196</v>
          </cell>
          <cell r="AO101">
            <v>752348515</v>
          </cell>
          <cell r="AP101">
            <v>33688985</v>
          </cell>
          <cell r="AQ101">
            <v>786037500</v>
          </cell>
          <cell r="BL101">
            <v>5328</v>
          </cell>
          <cell r="DZ101">
            <v>5651</v>
          </cell>
          <cell r="ED101">
            <v>387210591.13300496</v>
          </cell>
          <cell r="EF101">
            <v>7.165930251419303E-2</v>
          </cell>
          <cell r="EH101">
            <v>0.25064001081373344</v>
          </cell>
          <cell r="EJ101">
            <v>0.67498030819140309</v>
          </cell>
          <cell r="EL101">
            <v>2.7203784806704517E-3</v>
          </cell>
          <cell r="EQ101" t="str">
            <v>Construção Civil</v>
          </cell>
        </row>
        <row r="102">
          <cell r="A102" t="str">
            <v>USIMINAS</v>
          </cell>
          <cell r="C102" t="str">
            <v>BÁSICO</v>
          </cell>
          <cell r="F102" t="str">
            <v>FOLLOW-ON</v>
          </cell>
          <cell r="G102" t="str">
            <v>ICVM 400</v>
          </cell>
          <cell r="J102">
            <v>39199</v>
          </cell>
          <cell r="M102" t="str">
            <v>Merrill Lynch</v>
          </cell>
          <cell r="W102">
            <v>110</v>
          </cell>
          <cell r="X102">
            <v>39197</v>
          </cell>
          <cell r="AO102">
            <v>0</v>
          </cell>
          <cell r="AP102">
            <v>2069007490</v>
          </cell>
          <cell r="AQ102">
            <v>2069007490</v>
          </cell>
          <cell r="BL102">
            <v>7045</v>
          </cell>
          <cell r="DZ102">
            <v>7789</v>
          </cell>
          <cell r="ED102">
            <v>1019215512.315271</v>
          </cell>
          <cell r="EF102">
            <v>5.8990912585232459E-2</v>
          </cell>
          <cell r="EH102">
            <v>0.24308114693767627</v>
          </cell>
          <cell r="EJ102">
            <v>0.69470308829783978</v>
          </cell>
          <cell r="EL102">
            <v>3.2248521792514716E-3</v>
          </cell>
          <cell r="EQ102" t="str">
            <v>Siderurgia</v>
          </cell>
        </row>
        <row r="103">
          <cell r="A103" t="str">
            <v>CREMER</v>
          </cell>
          <cell r="C103" t="str">
            <v>NM</v>
          </cell>
          <cell r="F103" t="str">
            <v>IPO</v>
          </cell>
          <cell r="G103" t="str">
            <v>ICVM 400</v>
          </cell>
          <cell r="J103">
            <v>39202</v>
          </cell>
          <cell r="M103" t="str">
            <v>Merrill Lynch</v>
          </cell>
          <cell r="W103">
            <v>17.5</v>
          </cell>
          <cell r="X103">
            <v>39198</v>
          </cell>
          <cell r="AO103">
            <v>210000000</v>
          </cell>
          <cell r="AP103">
            <v>341631500</v>
          </cell>
          <cell r="AQ103">
            <v>551631500</v>
          </cell>
          <cell r="BL103">
            <v>9370</v>
          </cell>
          <cell r="DZ103">
            <v>9717</v>
          </cell>
          <cell r="ED103">
            <v>271739655.17241383</v>
          </cell>
          <cell r="EF103">
            <v>8.5369216202125051E-2</v>
          </cell>
          <cell r="EH103">
            <v>0.15720361125926635</v>
          </cell>
          <cell r="EJ103">
            <v>0.75583284891560343</v>
          </cell>
          <cell r="EL103">
            <v>1.5943236230051478E-3</v>
          </cell>
          <cell r="EQ103" t="str">
            <v>Medicamentos e Outros Produtos</v>
          </cell>
        </row>
        <row r="104">
          <cell r="A104" t="str">
            <v>WILSON SONS</v>
          </cell>
          <cell r="C104" t="str">
            <v>BDR</v>
          </cell>
          <cell r="F104" t="str">
            <v>IPO</v>
          </cell>
          <cell r="G104" t="str">
            <v>ICVM 400</v>
          </cell>
          <cell r="J104">
            <v>39202</v>
          </cell>
          <cell r="M104" t="str">
            <v>Credit Suisse</v>
          </cell>
          <cell r="W104">
            <v>23.77</v>
          </cell>
          <cell r="X104">
            <v>39198</v>
          </cell>
          <cell r="AO104">
            <v>261470000</v>
          </cell>
          <cell r="AP104">
            <v>444499000</v>
          </cell>
          <cell r="AQ104">
            <v>705969000</v>
          </cell>
          <cell r="BL104">
            <v>11775</v>
          </cell>
          <cell r="DZ104">
            <v>12393</v>
          </cell>
          <cell r="ED104">
            <v>347767980.29556656</v>
          </cell>
          <cell r="EF104">
            <v>7.3848552188552186E-2</v>
          </cell>
          <cell r="EH104">
            <v>0.13604070707070706</v>
          </cell>
          <cell r="EJ104">
            <v>0.74198851851851855</v>
          </cell>
          <cell r="EL104">
            <v>4.8122222222222226E-2</v>
          </cell>
          <cell r="EQ104" t="str">
            <v>Serviços de Apoio e Armazenagem</v>
          </cell>
        </row>
        <row r="105">
          <cell r="A105" t="str">
            <v>SOFISA</v>
          </cell>
          <cell r="C105" t="str">
            <v>N1</v>
          </cell>
          <cell r="F105" t="str">
            <v>IPO</v>
          </cell>
          <cell r="G105" t="str">
            <v>ICVM 400</v>
          </cell>
          <cell r="J105">
            <v>39204</v>
          </cell>
          <cell r="M105" t="str">
            <v>UBS</v>
          </cell>
          <cell r="W105">
            <v>12</v>
          </cell>
          <cell r="X105">
            <v>39197</v>
          </cell>
          <cell r="AO105">
            <v>497336256</v>
          </cell>
          <cell r="AP105">
            <v>7207728</v>
          </cell>
          <cell r="AQ105">
            <v>504543984</v>
          </cell>
          <cell r="BL105">
            <v>7238</v>
          </cell>
          <cell r="DZ105">
            <v>7521</v>
          </cell>
          <cell r="ED105">
            <v>244924264.07766989</v>
          </cell>
          <cell r="EF105">
            <v>8.7162256204802946E-2</v>
          </cell>
          <cell r="EH105">
            <v>0.15108692684362679</v>
          </cell>
          <cell r="EJ105">
            <v>0.7595713360046723</v>
          </cell>
          <cell r="EL105">
            <v>2.1794809468979816E-3</v>
          </cell>
          <cell r="EQ105" t="str">
            <v>Bancos</v>
          </cell>
        </row>
        <row r="106">
          <cell r="A106" t="str">
            <v>TARPON</v>
          </cell>
          <cell r="C106" t="str">
            <v>BDR</v>
          </cell>
          <cell r="F106" t="str">
            <v>IPO</v>
          </cell>
          <cell r="G106" t="str">
            <v>ICVM 400</v>
          </cell>
          <cell r="J106">
            <v>39233</v>
          </cell>
          <cell r="M106" t="str">
            <v>Credit Suisse</v>
          </cell>
          <cell r="W106">
            <v>22</v>
          </cell>
          <cell r="X106">
            <v>39231</v>
          </cell>
          <cell r="AO106">
            <v>443828000</v>
          </cell>
          <cell r="AP106">
            <v>0</v>
          </cell>
          <cell r="AQ106">
            <v>443828000</v>
          </cell>
          <cell r="BL106">
            <v>10631</v>
          </cell>
          <cell r="DZ106">
            <v>10949</v>
          </cell>
          <cell r="ED106">
            <v>229962694.30051816</v>
          </cell>
          <cell r="EF106">
            <v>8.5689338892197736E-2</v>
          </cell>
          <cell r="EH106">
            <v>3.1145634306134602E-2</v>
          </cell>
          <cell r="EJ106">
            <v>0.86975580702799282</v>
          </cell>
          <cell r="EL106">
            <v>1.3409219773674807E-2</v>
          </cell>
          <cell r="EQ106" t="str">
            <v>Holdings Diversificadas</v>
          </cell>
        </row>
        <row r="107">
          <cell r="A107" t="str">
            <v>INPAR S/A</v>
          </cell>
          <cell r="C107" t="str">
            <v>NM</v>
          </cell>
          <cell r="F107" t="str">
            <v>IPO</v>
          </cell>
          <cell r="G107" t="str">
            <v>ICVM 400</v>
          </cell>
          <cell r="J107">
            <v>39239</v>
          </cell>
          <cell r="M107" t="str">
            <v>Credit Suisse</v>
          </cell>
          <cell r="W107">
            <v>17.5</v>
          </cell>
          <cell r="X107">
            <v>39237</v>
          </cell>
          <cell r="AO107">
            <v>756000000</v>
          </cell>
          <cell r="AP107">
            <v>0</v>
          </cell>
          <cell r="AQ107">
            <v>756000000</v>
          </cell>
          <cell r="BL107">
            <v>9532</v>
          </cell>
          <cell r="DZ107">
            <v>10114</v>
          </cell>
          <cell r="ED107">
            <v>385714285.71428573</v>
          </cell>
          <cell r="EF107">
            <v>8.1324212962962966E-2</v>
          </cell>
          <cell r="EH107">
            <v>0.22044250000000001</v>
          </cell>
          <cell r="EJ107">
            <v>0.6958937268518518</v>
          </cell>
          <cell r="EL107">
            <v>2.339560185185185E-3</v>
          </cell>
          <cell r="EQ107" t="str">
            <v>Construção Civil</v>
          </cell>
        </row>
        <row r="108">
          <cell r="A108" t="str">
            <v>PARANA</v>
          </cell>
          <cell r="C108" t="str">
            <v>N1</v>
          </cell>
          <cell r="F108" t="str">
            <v>IPO</v>
          </cell>
          <cell r="G108" t="str">
            <v>ICVM 400</v>
          </cell>
          <cell r="J108">
            <v>39247</v>
          </cell>
          <cell r="M108" t="str">
            <v>UBS</v>
          </cell>
          <cell r="W108">
            <v>14</v>
          </cell>
          <cell r="X108">
            <v>39245</v>
          </cell>
          <cell r="AO108">
            <v>529200000</v>
          </cell>
          <cell r="AP108">
            <v>0</v>
          </cell>
          <cell r="AQ108">
            <v>529200000</v>
          </cell>
          <cell r="BL108">
            <v>8491</v>
          </cell>
          <cell r="DZ108">
            <v>8800</v>
          </cell>
          <cell r="ED108">
            <v>274196891.19170988</v>
          </cell>
          <cell r="EF108">
            <v>0.11348703703703704</v>
          </cell>
          <cell r="EH108">
            <v>0.10587037037037036</v>
          </cell>
          <cell r="EJ108">
            <v>0.7785144444444444</v>
          </cell>
          <cell r="EL108">
            <v>2.1281481481481481E-3</v>
          </cell>
          <cell r="EQ108" t="str">
            <v>Bancos</v>
          </cell>
        </row>
        <row r="109">
          <cell r="A109" t="str">
            <v>SLC AGRICOLA</v>
          </cell>
          <cell r="C109" t="str">
            <v>NM</v>
          </cell>
          <cell r="F109" t="str">
            <v>IPO</v>
          </cell>
          <cell r="G109" t="str">
            <v>ICVM 400</v>
          </cell>
          <cell r="J109">
            <v>39248</v>
          </cell>
          <cell r="M109" t="str">
            <v>Credit Suisse</v>
          </cell>
          <cell r="W109">
            <v>14</v>
          </cell>
          <cell r="X109">
            <v>39246</v>
          </cell>
          <cell r="AO109">
            <v>308000000</v>
          </cell>
          <cell r="AP109">
            <v>182043750</v>
          </cell>
          <cell r="AQ109">
            <v>490043750</v>
          </cell>
          <cell r="BL109">
            <v>9623</v>
          </cell>
          <cell r="DZ109">
            <v>10166</v>
          </cell>
          <cell r="ED109">
            <v>256567408.37696335</v>
          </cell>
          <cell r="EF109">
            <v>9.1886681546290511E-2</v>
          </cell>
          <cell r="EH109">
            <v>0.2072382394429069</v>
          </cell>
          <cell r="EJ109">
            <v>0.69781083831800728</v>
          </cell>
          <cell r="EL109">
            <v>3.0642406927952862E-3</v>
          </cell>
          <cell r="EQ109" t="str">
            <v>Alimentos Diversos</v>
          </cell>
        </row>
        <row r="110">
          <cell r="A110" t="str">
            <v>LOG-IN</v>
          </cell>
          <cell r="C110" t="str">
            <v>NM</v>
          </cell>
          <cell r="F110" t="str">
            <v>IPO</v>
          </cell>
          <cell r="G110" t="str">
            <v>ICVM 400</v>
          </cell>
          <cell r="J110">
            <v>39254</v>
          </cell>
          <cell r="M110" t="str">
            <v>UBS</v>
          </cell>
          <cell r="W110">
            <v>14.25</v>
          </cell>
          <cell r="X110">
            <v>39251</v>
          </cell>
          <cell r="AO110">
            <v>443333317.5</v>
          </cell>
          <cell r="AP110">
            <v>404913336.75</v>
          </cell>
          <cell r="AQ110">
            <v>848246654.25</v>
          </cell>
          <cell r="BL110">
            <v>26509</v>
          </cell>
          <cell r="DZ110">
            <v>28172</v>
          </cell>
          <cell r="ED110">
            <v>441795132.421875</v>
          </cell>
          <cell r="EF110">
            <v>8.6723968943965918E-2</v>
          </cell>
          <cell r="EH110">
            <v>0.16357265313669819</v>
          </cell>
          <cell r="EJ110">
            <v>0.74697106298665961</v>
          </cell>
          <cell r="EL110">
            <v>2.7323149326763173E-3</v>
          </cell>
          <cell r="EQ110" t="str">
            <v>Transporte Hidroviário</v>
          </cell>
        </row>
        <row r="111">
          <cell r="A111" t="str">
            <v>EZTEC</v>
          </cell>
          <cell r="C111" t="str">
            <v>NM</v>
          </cell>
          <cell r="F111" t="str">
            <v>IPO</v>
          </cell>
          <cell r="G111" t="str">
            <v>ICVM 400</v>
          </cell>
          <cell r="J111">
            <v>39255</v>
          </cell>
          <cell r="M111" t="str">
            <v>UBS</v>
          </cell>
          <cell r="W111">
            <v>11</v>
          </cell>
          <cell r="X111">
            <v>39252</v>
          </cell>
          <cell r="AO111">
            <v>542145813</v>
          </cell>
          <cell r="AP111">
            <v>0</v>
          </cell>
          <cell r="AQ111">
            <v>542145813</v>
          </cell>
          <cell r="BL111">
            <v>5507</v>
          </cell>
          <cell r="DZ111">
            <v>5802</v>
          </cell>
          <cell r="ED111">
            <v>280904566.32124352</v>
          </cell>
          <cell r="EF111">
            <v>8.4224108911452572E-2</v>
          </cell>
          <cell r="EH111">
            <v>0.22720709456073951</v>
          </cell>
          <cell r="EJ111">
            <v>0.68114236455423849</v>
          </cell>
          <cell r="EL111">
            <v>7.4264319735694428E-3</v>
          </cell>
          <cell r="EQ111" t="str">
            <v>Construção Civil</v>
          </cell>
        </row>
        <row r="112">
          <cell r="A112" t="str">
            <v>CRUZEIRO SUL</v>
          </cell>
          <cell r="C112" t="str">
            <v>N1</v>
          </cell>
          <cell r="F112" t="str">
            <v>IPO</v>
          </cell>
          <cell r="G112" t="str">
            <v>ICVM 400</v>
          </cell>
          <cell r="J112">
            <v>39259</v>
          </cell>
          <cell r="M112" t="str">
            <v>UBS</v>
          </cell>
          <cell r="W112">
            <v>15.5</v>
          </cell>
          <cell r="X112">
            <v>39254</v>
          </cell>
          <cell r="AO112">
            <v>439695785</v>
          </cell>
          <cell r="AP112">
            <v>133820459</v>
          </cell>
          <cell r="AQ112">
            <v>573516244</v>
          </cell>
          <cell r="BL112">
            <v>4188</v>
          </cell>
          <cell r="DZ112">
            <v>4442</v>
          </cell>
          <cell r="ED112">
            <v>294110894.35897434</v>
          </cell>
          <cell r="EF112">
            <v>8.3260549010821361E-2</v>
          </cell>
          <cell r="EH112">
            <v>1.0036897922068948E-2</v>
          </cell>
          <cell r="EJ112">
            <v>0.59205433882625191</v>
          </cell>
          <cell r="EL112">
            <v>0.31464821424085782</v>
          </cell>
          <cell r="EQ112" t="str">
            <v>Bancos</v>
          </cell>
        </row>
        <row r="113">
          <cell r="A113" t="str">
            <v>DAYCOVAL</v>
          </cell>
          <cell r="C113" t="str">
            <v>N1</v>
          </cell>
          <cell r="F113" t="str">
            <v>IPO</v>
          </cell>
          <cell r="G113" t="str">
            <v>ICVM 400</v>
          </cell>
          <cell r="J113">
            <v>39262</v>
          </cell>
          <cell r="M113" t="str">
            <v>UBS</v>
          </cell>
          <cell r="W113">
            <v>17</v>
          </cell>
          <cell r="X113">
            <v>39259</v>
          </cell>
          <cell r="AO113">
            <v>936406104</v>
          </cell>
          <cell r="AP113">
            <v>156067684</v>
          </cell>
          <cell r="AQ113">
            <v>1092473788</v>
          </cell>
          <cell r="BL113">
            <v>7518</v>
          </cell>
          <cell r="DZ113">
            <v>8014</v>
          </cell>
          <cell r="ED113">
            <v>566048594.81865287</v>
          </cell>
          <cell r="EF113">
            <v>8.8968386306033737E-2</v>
          </cell>
          <cell r="EH113">
            <v>0.19154168941946276</v>
          </cell>
          <cell r="EJ113">
            <v>0.69751996649277959</v>
          </cell>
          <cell r="EL113">
            <v>2.1969957781723913E-2</v>
          </cell>
          <cell r="EQ113" t="str">
            <v>Bancos</v>
          </cell>
        </row>
        <row r="114">
          <cell r="A114" t="str">
            <v>MARFRIG</v>
          </cell>
          <cell r="C114" t="str">
            <v>NM</v>
          </cell>
          <cell r="F114" t="str">
            <v>IPO</v>
          </cell>
          <cell r="G114" t="str">
            <v>ICVM 400</v>
          </cell>
          <cell r="J114">
            <v>39262</v>
          </cell>
          <cell r="M114" t="str">
            <v>Merrill Lynch</v>
          </cell>
          <cell r="W114">
            <v>17</v>
          </cell>
          <cell r="X114">
            <v>39259</v>
          </cell>
          <cell r="AO114">
            <v>654065548</v>
          </cell>
          <cell r="AP114">
            <v>366444452</v>
          </cell>
          <cell r="AQ114">
            <v>1020510000</v>
          </cell>
          <cell r="BL114">
            <v>4899</v>
          </cell>
          <cell r="DZ114">
            <v>5527</v>
          </cell>
          <cell r="ED114">
            <v>528761658.03108811</v>
          </cell>
          <cell r="EF114">
            <v>4.729032150591371E-2</v>
          </cell>
          <cell r="EH114">
            <v>0.26923170081625852</v>
          </cell>
          <cell r="EJ114">
            <v>0.67865817091454272</v>
          </cell>
          <cell r="EL114">
            <v>4.819806763285024E-3</v>
          </cell>
          <cell r="EQ114" t="str">
            <v>Carnes e Derivados</v>
          </cell>
        </row>
        <row r="115">
          <cell r="A115" t="str">
            <v>TEGMA</v>
          </cell>
          <cell r="C115" t="str">
            <v>NM</v>
          </cell>
          <cell r="F115" t="str">
            <v>IPO</v>
          </cell>
          <cell r="G115" t="str">
            <v>ICVM 400</v>
          </cell>
          <cell r="J115">
            <v>39266</v>
          </cell>
          <cell r="M115" t="str">
            <v>JP Morgan</v>
          </cell>
          <cell r="W115">
            <v>26</v>
          </cell>
          <cell r="X115">
            <v>39261</v>
          </cell>
          <cell r="AO115">
            <v>290228506.10000002</v>
          </cell>
          <cell r="AP115">
            <v>313751493.89999998</v>
          </cell>
          <cell r="AQ115">
            <v>603980000</v>
          </cell>
          <cell r="BL115">
            <v>6714</v>
          </cell>
          <cell r="DZ115">
            <v>7147</v>
          </cell>
          <cell r="ED115">
            <v>316219895.28795815</v>
          </cell>
          <cell r="EF115">
            <v>8.8064743865690923E-2</v>
          </cell>
          <cell r="EH115">
            <v>0.31941304347826088</v>
          </cell>
          <cell r="EJ115">
            <v>0.59044782608695656</v>
          </cell>
          <cell r="EL115">
            <v>2.0743865690916919E-3</v>
          </cell>
          <cell r="EQ115" t="str">
            <v>Transporte Rodoviário</v>
          </cell>
        </row>
        <row r="116">
          <cell r="A116" t="str">
            <v>DROGASIL</v>
          </cell>
          <cell r="C116" t="str">
            <v>NM</v>
          </cell>
          <cell r="F116" t="str">
            <v>FOLLOW-ON</v>
          </cell>
          <cell r="G116" t="str">
            <v>ICVM 400</v>
          </cell>
          <cell r="J116">
            <v>39266</v>
          </cell>
          <cell r="M116" t="str">
            <v>UBS</v>
          </cell>
          <cell r="W116">
            <v>15</v>
          </cell>
          <cell r="X116">
            <v>39261</v>
          </cell>
          <cell r="AO116">
            <v>235400100</v>
          </cell>
          <cell r="AP116">
            <v>157290300</v>
          </cell>
          <cell r="AQ116">
            <v>392690400</v>
          </cell>
          <cell r="BL116">
            <v>7204</v>
          </cell>
          <cell r="DZ116">
            <v>7676</v>
          </cell>
          <cell r="ED116">
            <v>205597068.06282723</v>
          </cell>
          <cell r="EF116">
            <v>9.9862754475281285E-2</v>
          </cell>
          <cell r="EH116">
            <v>0.22867743902066362</v>
          </cell>
          <cell r="EJ116">
            <v>0.66993242004388187</v>
          </cell>
          <cell r="EL116">
            <v>1.5273864601732052E-3</v>
          </cell>
          <cell r="EQ116" t="str">
            <v>Medicamentos</v>
          </cell>
        </row>
        <row r="117">
          <cell r="A117" t="str">
            <v>INDUSVAL</v>
          </cell>
          <cell r="C117" t="str">
            <v>N2</v>
          </cell>
          <cell r="F117" t="str">
            <v>IPO</v>
          </cell>
          <cell r="G117" t="str">
            <v>ICVM 400</v>
          </cell>
          <cell r="J117">
            <v>39275</v>
          </cell>
          <cell r="M117" t="str">
            <v>Credit Suisse</v>
          </cell>
          <cell r="W117">
            <v>17.5</v>
          </cell>
          <cell r="X117">
            <v>39273</v>
          </cell>
          <cell r="AO117">
            <v>227500017.5</v>
          </cell>
          <cell r="AP117">
            <v>25060752.5</v>
          </cell>
          <cell r="AQ117">
            <v>252560770</v>
          </cell>
          <cell r="BL117">
            <v>283</v>
          </cell>
          <cell r="DZ117">
            <v>348</v>
          </cell>
          <cell r="ED117">
            <v>134340835.106383</v>
          </cell>
          <cell r="EF117">
            <v>7.6261224902982705E-2</v>
          </cell>
          <cell r="EH117">
            <v>4.045622765721326E-2</v>
          </cell>
          <cell r="EJ117">
            <v>0.87974539386573891</v>
          </cell>
          <cell r="EL117">
            <v>3.5371535740651096E-3</v>
          </cell>
          <cell r="EQ117" t="str">
            <v>Bancos</v>
          </cell>
        </row>
        <row r="118">
          <cell r="A118" t="str">
            <v>REDECARD</v>
          </cell>
          <cell r="C118" t="str">
            <v>NM</v>
          </cell>
          <cell r="F118" t="str">
            <v>IPO</v>
          </cell>
          <cell r="G118" t="str">
            <v>ICVM 400</v>
          </cell>
          <cell r="J118">
            <v>39276</v>
          </cell>
          <cell r="M118" t="str">
            <v>Unibanco</v>
          </cell>
          <cell r="W118">
            <v>27</v>
          </cell>
          <cell r="X118">
            <v>39274</v>
          </cell>
          <cell r="AO118">
            <v>419999985</v>
          </cell>
          <cell r="AP118">
            <v>4222694700</v>
          </cell>
          <cell r="AQ118">
            <v>4642694685</v>
          </cell>
          <cell r="BL118">
            <v>29315</v>
          </cell>
          <cell r="DZ118">
            <v>31297</v>
          </cell>
          <cell r="ED118">
            <v>2482724430.4812832</v>
          </cell>
          <cell r="EF118">
            <v>8.895317698454254E-2</v>
          </cell>
          <cell r="EH118">
            <v>0.19214644371989326</v>
          </cell>
          <cell r="EJ118">
            <v>0.71547075833611484</v>
          </cell>
          <cell r="EL118">
            <v>3.429620959449329E-3</v>
          </cell>
          <cell r="EQ118" t="str">
            <v>Serviços Financeiros Diversos</v>
          </cell>
        </row>
        <row r="119">
          <cell r="A119" t="str">
            <v>INVEST TUR</v>
          </cell>
          <cell r="C119" t="str">
            <v>NM</v>
          </cell>
          <cell r="F119" t="str">
            <v>IPO</v>
          </cell>
          <cell r="G119" t="str">
            <v>ICVM 400</v>
          </cell>
          <cell r="J119">
            <v>39279</v>
          </cell>
          <cell r="M119" t="str">
            <v>Credit Suisse</v>
          </cell>
          <cell r="W119">
            <v>1000</v>
          </cell>
          <cell r="X119">
            <v>39275</v>
          </cell>
          <cell r="AO119">
            <v>945000000</v>
          </cell>
          <cell r="AP119">
            <v>0</v>
          </cell>
          <cell r="AQ119">
            <v>945000000</v>
          </cell>
          <cell r="BL119">
            <v>16</v>
          </cell>
          <cell r="DZ119">
            <v>114</v>
          </cell>
          <cell r="ED119">
            <v>508064516.12903225</v>
          </cell>
          <cell r="EF119">
            <v>9.1005291005291002E-3</v>
          </cell>
          <cell r="EH119">
            <v>5.9894179894179896E-2</v>
          </cell>
          <cell r="EJ119">
            <v>0.8720634920634921</v>
          </cell>
          <cell r="EL119">
            <v>5.8941798941798941E-2</v>
          </cell>
          <cell r="EQ119" t="str">
            <v>Exploração de Imóveis</v>
          </cell>
        </row>
        <row r="120">
          <cell r="A120" t="str">
            <v>MINERVA</v>
          </cell>
          <cell r="C120" t="str">
            <v>NM</v>
          </cell>
          <cell r="F120" t="str">
            <v>IPO</v>
          </cell>
          <cell r="G120" t="str">
            <v>ICVM 400</v>
          </cell>
          <cell r="J120">
            <v>39283</v>
          </cell>
          <cell r="M120" t="str">
            <v>Credit Suisse</v>
          </cell>
          <cell r="W120">
            <v>18.5</v>
          </cell>
          <cell r="X120">
            <v>39281</v>
          </cell>
          <cell r="AO120">
            <v>370000000</v>
          </cell>
          <cell r="AP120">
            <v>74000000</v>
          </cell>
          <cell r="AQ120">
            <v>444000000</v>
          </cell>
          <cell r="BL120">
            <v>11539</v>
          </cell>
          <cell r="DZ120">
            <v>12115</v>
          </cell>
          <cell r="ED120">
            <v>238709677.41935483</v>
          </cell>
          <cell r="EF120">
            <v>0.10461865942028986</v>
          </cell>
          <cell r="EH120">
            <v>0.27791492753623187</v>
          </cell>
          <cell r="EJ120">
            <v>0.6155805797101449</v>
          </cell>
          <cell r="EL120">
            <v>1.8858333333333333E-3</v>
          </cell>
          <cell r="EQ120" t="str">
            <v>Carnes e Derivados</v>
          </cell>
        </row>
        <row r="121">
          <cell r="A121" t="str">
            <v>PATAGONIA ¹</v>
          </cell>
          <cell r="C121" t="str">
            <v>BDR</v>
          </cell>
          <cell r="F121" t="str">
            <v>IPO</v>
          </cell>
          <cell r="G121" t="str">
            <v>ICVM 400</v>
          </cell>
          <cell r="J121">
            <v>39283</v>
          </cell>
          <cell r="M121" t="str">
            <v>JP Morgan</v>
          </cell>
          <cell r="W121">
            <v>48.38</v>
          </cell>
          <cell r="X121">
            <v>39281</v>
          </cell>
          <cell r="AO121">
            <v>7619850</v>
          </cell>
          <cell r="AP121">
            <v>68336750</v>
          </cell>
          <cell r="AQ121">
            <v>75956600</v>
          </cell>
          <cell r="BL121">
            <v>2830</v>
          </cell>
          <cell r="DZ121">
            <v>2917</v>
          </cell>
          <cell r="ED121">
            <v>40836881.720430106</v>
          </cell>
          <cell r="EF121">
            <v>6.1869565217391306E-3</v>
          </cell>
          <cell r="EH121">
            <v>2.0525478260869565E-2</v>
          </cell>
          <cell r="EJ121">
            <v>0.97320278260869564</v>
          </cell>
          <cell r="EL121">
            <v>8.478260869565218E-5</v>
          </cell>
          <cell r="EQ121" t="str">
            <v>Bancos</v>
          </cell>
        </row>
        <row r="122">
          <cell r="A122" t="str">
            <v>CIA HERING</v>
          </cell>
          <cell r="C122" t="str">
            <v>NM</v>
          </cell>
          <cell r="F122" t="str">
            <v>FOLLOW-ON</v>
          </cell>
          <cell r="G122" t="str">
            <v>ICVM 400</v>
          </cell>
          <cell r="J122">
            <v>39286</v>
          </cell>
          <cell r="M122" t="str">
            <v>Itaú BBA</v>
          </cell>
          <cell r="W122">
            <v>11</v>
          </cell>
          <cell r="X122">
            <v>39282</v>
          </cell>
          <cell r="AO122">
            <v>229163000</v>
          </cell>
          <cell r="AP122">
            <v>82500000</v>
          </cell>
          <cell r="AQ122">
            <v>311663000</v>
          </cell>
          <cell r="BL122">
            <v>9089</v>
          </cell>
          <cell r="DZ122">
            <v>9404</v>
          </cell>
          <cell r="ED122">
            <v>168977987.42138365</v>
          </cell>
          <cell r="EF122">
            <v>8.3772279673878514E-2</v>
          </cell>
          <cell r="EH122">
            <v>0.28175932504576778</v>
          </cell>
          <cell r="EJ122">
            <v>0.63107539372585975</v>
          </cell>
          <cell r="EL122">
            <v>3.3930015544939916E-3</v>
          </cell>
          <cell r="EQ122" t="str">
            <v>Vestuário</v>
          </cell>
        </row>
        <row r="123">
          <cell r="A123" t="str">
            <v>MRV</v>
          </cell>
          <cell r="C123" t="str">
            <v>NM</v>
          </cell>
          <cell r="F123" t="str">
            <v>IPO</v>
          </cell>
          <cell r="G123" t="str">
            <v>ICVM 400</v>
          </cell>
          <cell r="J123">
            <v>39286</v>
          </cell>
          <cell r="M123" t="str">
            <v>UBS</v>
          </cell>
          <cell r="W123">
            <v>26</v>
          </cell>
          <cell r="X123">
            <v>39282</v>
          </cell>
          <cell r="AO123">
            <v>1071155202</v>
          </cell>
          <cell r="AP123">
            <v>122244798</v>
          </cell>
          <cell r="AQ123">
            <v>1193400000</v>
          </cell>
          <cell r="BL123">
            <v>15461</v>
          </cell>
          <cell r="DZ123">
            <v>16745</v>
          </cell>
          <cell r="ED123">
            <v>647039687.70331812</v>
          </cell>
          <cell r="EF123">
            <v>7.6903420479302834E-2</v>
          </cell>
          <cell r="EH123">
            <v>0.18763581699346404</v>
          </cell>
          <cell r="EJ123">
            <v>0.7331963616557734</v>
          </cell>
          <cell r="EL123">
            <v>2.264400871459695E-3</v>
          </cell>
          <cell r="EQ123" t="str">
            <v>Construção Civil</v>
          </cell>
        </row>
        <row r="124">
          <cell r="A124" t="str">
            <v>KROTON</v>
          </cell>
          <cell r="C124" t="str">
            <v>N2</v>
          </cell>
          <cell r="F124" t="str">
            <v>IPO</v>
          </cell>
          <cell r="G124" t="str">
            <v>ICVM 400</v>
          </cell>
          <cell r="J124">
            <v>39286</v>
          </cell>
          <cell r="M124" t="str">
            <v>Morgan Stanley</v>
          </cell>
          <cell r="W124">
            <v>39</v>
          </cell>
          <cell r="X124">
            <v>39282</v>
          </cell>
          <cell r="AO124">
            <v>395695287</v>
          </cell>
          <cell r="AP124">
            <v>83078463</v>
          </cell>
          <cell r="AQ124">
            <v>478773750</v>
          </cell>
          <cell r="BL124">
            <v>11158</v>
          </cell>
          <cell r="DZ124">
            <v>12081</v>
          </cell>
          <cell r="ED124">
            <v>259582384.51528952</v>
          </cell>
          <cell r="EF124">
            <v>9.2084634965889423E-2</v>
          </cell>
          <cell r="EH124">
            <v>0.20221606761022298</v>
          </cell>
          <cell r="EJ124">
            <v>0.70243787801649527</v>
          </cell>
          <cell r="EL124">
            <v>3.2614194073923228E-3</v>
          </cell>
          <cell r="EQ124" t="str">
            <v>Serviços Educacionais</v>
          </cell>
        </row>
        <row r="125">
          <cell r="A125" t="str">
            <v>GUARANI</v>
          </cell>
          <cell r="C125" t="str">
            <v>NM</v>
          </cell>
          <cell r="F125" t="str">
            <v>IPO</v>
          </cell>
          <cell r="G125" t="str">
            <v>ICVM 400</v>
          </cell>
          <cell r="J125">
            <v>39286</v>
          </cell>
          <cell r="M125" t="str">
            <v>UBS</v>
          </cell>
          <cell r="W125">
            <v>13.5</v>
          </cell>
          <cell r="X125">
            <v>39282</v>
          </cell>
          <cell r="AO125">
            <v>665758062</v>
          </cell>
          <cell r="AP125">
            <v>0</v>
          </cell>
          <cell r="AQ125">
            <v>665758062</v>
          </cell>
          <cell r="BL125">
            <v>12229</v>
          </cell>
          <cell r="DZ125">
            <v>12750</v>
          </cell>
          <cell r="ED125">
            <v>360961864.02081978</v>
          </cell>
          <cell r="EF125">
            <v>0.11163641357866029</v>
          </cell>
          <cell r="EH125">
            <v>0.43603055349678765</v>
          </cell>
          <cell r="EJ125">
            <v>0.44979501336939859</v>
          </cell>
          <cell r="EL125">
            <v>2.5380195551534352E-3</v>
          </cell>
          <cell r="EQ125" t="str">
            <v>Alimentos Diversos</v>
          </cell>
        </row>
        <row r="126">
          <cell r="A126" t="str">
            <v>TRIUNFO PART</v>
          </cell>
          <cell r="C126" t="str">
            <v>NM</v>
          </cell>
          <cell r="F126" t="str">
            <v>IPO</v>
          </cell>
          <cell r="G126" t="str">
            <v>ICVM 400</v>
          </cell>
          <cell r="J126">
            <v>39286</v>
          </cell>
          <cell r="M126" t="str">
            <v>Credit Suisse</v>
          </cell>
          <cell r="W126">
            <v>9.5</v>
          </cell>
          <cell r="X126">
            <v>39282</v>
          </cell>
          <cell r="AO126">
            <v>304438719.5</v>
          </cell>
          <cell r="AP126">
            <v>208561280.5</v>
          </cell>
          <cell r="AQ126">
            <v>513000000</v>
          </cell>
          <cell r="BL126">
            <v>7067</v>
          </cell>
          <cell r="DZ126">
            <v>7427</v>
          </cell>
          <cell r="ED126">
            <v>278139232.27065712</v>
          </cell>
          <cell r="EF126">
            <v>8.5420032206119156E-2</v>
          </cell>
          <cell r="EH126">
            <v>0.16731320450885667</v>
          </cell>
          <cell r="EJ126">
            <v>0.74539797101449279</v>
          </cell>
          <cell r="EL126">
            <v>1.8687922705314009E-3</v>
          </cell>
          <cell r="EQ126" t="str">
            <v>Exploração de Rodovias</v>
          </cell>
        </row>
        <row r="127">
          <cell r="A127" t="str">
            <v>ABC BRASIL</v>
          </cell>
          <cell r="C127" t="str">
            <v>N2</v>
          </cell>
          <cell r="F127" t="str">
            <v>IPO</v>
          </cell>
          <cell r="G127" t="str">
            <v>ICVM 400</v>
          </cell>
          <cell r="J127">
            <v>39288</v>
          </cell>
          <cell r="M127" t="str">
            <v>UBS</v>
          </cell>
          <cell r="W127">
            <v>13.5</v>
          </cell>
          <cell r="X127">
            <v>39286</v>
          </cell>
          <cell r="AO127">
            <v>599400000</v>
          </cell>
          <cell r="AP127">
            <v>9450000</v>
          </cell>
          <cell r="AQ127">
            <v>608850000</v>
          </cell>
          <cell r="BL127">
            <v>5909</v>
          </cell>
          <cell r="DZ127">
            <v>6364</v>
          </cell>
          <cell r="ED127">
            <v>327338709.67741936</v>
          </cell>
          <cell r="EF127">
            <v>0.11208310810810811</v>
          </cell>
          <cell r="EH127">
            <v>0.23769067567567567</v>
          </cell>
          <cell r="EJ127">
            <v>0.64804310810810806</v>
          </cell>
          <cell r="EL127">
            <v>2.183108108108108E-3</v>
          </cell>
          <cell r="EQ127" t="str">
            <v>Bancos</v>
          </cell>
        </row>
        <row r="128">
          <cell r="A128" t="str">
            <v>SPRINGS</v>
          </cell>
          <cell r="C128" t="str">
            <v>NM</v>
          </cell>
          <cell r="F128" t="str">
            <v>IPO</v>
          </cell>
          <cell r="G128" t="str">
            <v>ICVM 400</v>
          </cell>
          <cell r="J128">
            <v>39290</v>
          </cell>
          <cell r="M128" t="str">
            <v>Credit Suisse</v>
          </cell>
          <cell r="W128">
            <v>19</v>
          </cell>
          <cell r="X128">
            <v>39288</v>
          </cell>
          <cell r="AO128">
            <v>446500000</v>
          </cell>
          <cell r="AP128">
            <v>209000000</v>
          </cell>
          <cell r="AQ128">
            <v>655500000</v>
          </cell>
          <cell r="BL128">
            <v>7307</v>
          </cell>
          <cell r="DZ128">
            <v>7592</v>
          </cell>
          <cell r="ED128">
            <v>343193717.27748692</v>
          </cell>
          <cell r="EF128">
            <v>6.2804840579710142E-2</v>
          </cell>
          <cell r="EH128">
            <v>0.18064202898550724</v>
          </cell>
          <cell r="EJ128">
            <v>0.36570678260869566</v>
          </cell>
          <cell r="EL128">
            <v>0.39084634782608696</v>
          </cell>
          <cell r="EQ128" t="str">
            <v>Fios e Tecidos</v>
          </cell>
        </row>
        <row r="129">
          <cell r="A129" t="str">
            <v>PROVIDENCIA</v>
          </cell>
          <cell r="C129" t="str">
            <v>NM</v>
          </cell>
          <cell r="F129" t="str">
            <v>IPO</v>
          </cell>
          <cell r="G129" t="str">
            <v>ICVM 400</v>
          </cell>
          <cell r="J129">
            <v>39290</v>
          </cell>
          <cell r="M129" t="str">
            <v>UBS</v>
          </cell>
          <cell r="W129">
            <v>15</v>
          </cell>
          <cell r="X129">
            <v>39288</v>
          </cell>
          <cell r="AO129">
            <v>468750000</v>
          </cell>
          <cell r="AP129">
            <v>0</v>
          </cell>
          <cell r="AQ129">
            <v>468750000</v>
          </cell>
          <cell r="BL129">
            <v>11036</v>
          </cell>
          <cell r="DZ129">
            <v>11615</v>
          </cell>
          <cell r="ED129">
            <v>245418848.16753927</v>
          </cell>
          <cell r="EF129">
            <v>9.3246636521739132E-2</v>
          </cell>
          <cell r="EH129">
            <v>0.23296834782608697</v>
          </cell>
          <cell r="EJ129">
            <v>0.67160027826086954</v>
          </cell>
          <cell r="EL129">
            <v>2.1847373913043478E-3</v>
          </cell>
          <cell r="EQ129" t="str">
            <v>Materiais Diversos</v>
          </cell>
        </row>
        <row r="130">
          <cell r="A130" t="str">
            <v>MULTIPLAN</v>
          </cell>
          <cell r="C130" t="str">
            <v>N2</v>
          </cell>
          <cell r="F130" t="str">
            <v>IPO</v>
          </cell>
          <cell r="G130" t="str">
            <v>ICVM 400</v>
          </cell>
          <cell r="J130">
            <v>39290</v>
          </cell>
          <cell r="M130" t="str">
            <v>UBS</v>
          </cell>
          <cell r="W130">
            <v>25</v>
          </cell>
          <cell r="X130">
            <v>39288</v>
          </cell>
          <cell r="AO130">
            <v>688327725</v>
          </cell>
          <cell r="AP130">
            <v>236200650</v>
          </cell>
          <cell r="AQ130">
            <v>924528375</v>
          </cell>
          <cell r="BL130">
            <v>24137</v>
          </cell>
          <cell r="DZ130">
            <v>25531</v>
          </cell>
          <cell r="ED130">
            <v>484046269.63350785</v>
          </cell>
          <cell r="EF130">
            <v>9.7230319430042358E-2</v>
          </cell>
          <cell r="EH130">
            <v>0.25952620446865432</v>
          </cell>
          <cell r="EJ130">
            <v>0.63936613045796464</v>
          </cell>
          <cell r="EL130">
            <v>3.8773456433386258E-3</v>
          </cell>
          <cell r="EQ130" t="str">
            <v>Exploração de Imóveis</v>
          </cell>
        </row>
        <row r="131">
          <cell r="A131" t="str">
            <v>GENERALSHOPP</v>
          </cell>
          <cell r="C131" t="str">
            <v>NM</v>
          </cell>
          <cell r="F131" t="str">
            <v>IPO</v>
          </cell>
          <cell r="G131" t="str">
            <v>ICVM 400</v>
          </cell>
          <cell r="J131">
            <v>39293</v>
          </cell>
          <cell r="M131" t="str">
            <v>JP Morgan</v>
          </cell>
          <cell r="W131">
            <v>14</v>
          </cell>
          <cell r="X131">
            <v>39289</v>
          </cell>
          <cell r="AO131">
            <v>286728400</v>
          </cell>
          <cell r="AP131">
            <v>0</v>
          </cell>
          <cell r="AQ131">
            <v>286728400</v>
          </cell>
          <cell r="BL131">
            <v>4966</v>
          </cell>
          <cell r="DZ131">
            <v>5168</v>
          </cell>
          <cell r="ED131">
            <v>152515106.38297874</v>
          </cell>
          <cell r="EF131">
            <v>9.6405663322185059E-2</v>
          </cell>
          <cell r="EH131">
            <v>0.23837311036789297</v>
          </cell>
          <cell r="EJ131">
            <v>0.66340026755852843</v>
          </cell>
          <cell r="EL131">
            <v>1.8209587513935341E-3</v>
          </cell>
          <cell r="EQ131" t="str">
            <v>Exploração de Imóveis</v>
          </cell>
        </row>
        <row r="132">
          <cell r="A132" t="str">
            <v>ESTACIO PART</v>
          </cell>
          <cell r="C132" t="str">
            <v>N2</v>
          </cell>
          <cell r="F132" t="str">
            <v>IPO</v>
          </cell>
          <cell r="G132" t="str">
            <v>ICVM 400</v>
          </cell>
          <cell r="J132">
            <v>39293</v>
          </cell>
          <cell r="M132" t="str">
            <v>UBS</v>
          </cell>
          <cell r="W132">
            <v>22.5</v>
          </cell>
          <cell r="X132">
            <v>39289</v>
          </cell>
          <cell r="AO132">
            <v>268164000</v>
          </cell>
          <cell r="AP132">
            <v>178776000</v>
          </cell>
          <cell r="AQ132">
            <v>446940000</v>
          </cell>
          <cell r="BL132">
            <v>10782</v>
          </cell>
          <cell r="DZ132">
            <v>11320</v>
          </cell>
          <cell r="ED132">
            <v>237734042.55319151</v>
          </cell>
          <cell r="EF132">
            <v>8.915547461871158E-2</v>
          </cell>
          <cell r="EH132">
            <v>0.2640286995044564</v>
          </cell>
          <cell r="EJ132">
            <v>0.64297273634628516</v>
          </cell>
          <cell r="EL132">
            <v>3.8430895305468491E-3</v>
          </cell>
          <cell r="EQ132" t="str">
            <v>Serviços Educacionais</v>
          </cell>
        </row>
        <row r="133">
          <cell r="A133" t="str">
            <v>BANRISUL</v>
          </cell>
          <cell r="C133" t="str">
            <v>N1</v>
          </cell>
          <cell r="F133" t="str">
            <v>FOLLOW-ON</v>
          </cell>
          <cell r="G133" t="str">
            <v>ICVM 400</v>
          </cell>
          <cell r="J133">
            <v>39294</v>
          </cell>
          <cell r="M133" t="str">
            <v>Credit Suisse</v>
          </cell>
          <cell r="W133">
            <v>12</v>
          </cell>
          <cell r="X133">
            <v>39287</v>
          </cell>
          <cell r="AO133">
            <v>799999992</v>
          </cell>
          <cell r="AP133">
            <v>1286956524</v>
          </cell>
          <cell r="AQ133">
            <v>2086956516</v>
          </cell>
          <cell r="BL133">
            <v>13220</v>
          </cell>
          <cell r="DZ133">
            <v>13799</v>
          </cell>
          <cell r="ED133">
            <v>1110083253.1914895</v>
          </cell>
          <cell r="EF133">
            <v>6.0390630603906308E-2</v>
          </cell>
          <cell r="EH133">
            <v>6.9262740692627403E-2</v>
          </cell>
          <cell r="EJ133">
            <v>0.84492629344926296</v>
          </cell>
          <cell r="EL133">
            <v>2.5420335254203352E-2</v>
          </cell>
          <cell r="EQ133" t="str">
            <v>Bancos</v>
          </cell>
        </row>
        <row r="134">
          <cell r="A134" t="str">
            <v>COSAN LTD ¹</v>
          </cell>
          <cell r="C134" t="str">
            <v>BDR</v>
          </cell>
          <cell r="F134" t="str">
            <v>IPO</v>
          </cell>
          <cell r="G134" t="str">
            <v>ICVM 400</v>
          </cell>
          <cell r="J134">
            <v>39311</v>
          </cell>
          <cell r="M134" t="str">
            <v>Morgan Stanley</v>
          </cell>
          <cell r="W134">
            <v>21.05</v>
          </cell>
          <cell r="X134">
            <v>39310</v>
          </cell>
          <cell r="AO134">
            <v>275016439.69999999</v>
          </cell>
          <cell r="AP134">
            <v>0</v>
          </cell>
          <cell r="AQ134">
            <v>275016439.69999999</v>
          </cell>
          <cell r="BL134">
            <v>1560</v>
          </cell>
          <cell r="DZ134">
            <v>1819</v>
          </cell>
          <cell r="ED134">
            <v>134811980.24509802</v>
          </cell>
          <cell r="EF134">
            <v>8.5760310893819736E-3</v>
          </cell>
          <cell r="EH134">
            <v>6.497336091262379E-2</v>
          </cell>
          <cell r="EJ134">
            <v>0.9262526728630528</v>
          </cell>
          <cell r="EL134">
            <v>1.9793513494152832E-4</v>
          </cell>
          <cell r="EQ134" t="str">
            <v>Alimentos Diversos</v>
          </cell>
        </row>
        <row r="135">
          <cell r="A135" t="str">
            <v>SATIPEL</v>
          </cell>
          <cell r="C135" t="str">
            <v>NM</v>
          </cell>
          <cell r="F135" t="str">
            <v>IPO</v>
          </cell>
          <cell r="G135" t="str">
            <v>ICVM 400</v>
          </cell>
          <cell r="J135">
            <v>39346</v>
          </cell>
          <cell r="M135" t="str">
            <v>UBS</v>
          </cell>
          <cell r="W135">
            <v>13</v>
          </cell>
          <cell r="X135">
            <v>39344</v>
          </cell>
          <cell r="AO135">
            <v>227766344</v>
          </cell>
          <cell r="AP135">
            <v>184774057</v>
          </cell>
          <cell r="AQ135">
            <v>412540401</v>
          </cell>
          <cell r="BL135">
            <v>6756</v>
          </cell>
          <cell r="DZ135">
            <v>7211</v>
          </cell>
          <cell r="ED135">
            <v>221795914.51612902</v>
          </cell>
          <cell r="EF135">
            <v>8.6447897709144489E-2</v>
          </cell>
          <cell r="EH135">
            <v>0.21924022389117181</v>
          </cell>
          <cell r="EJ135">
            <v>0.68953015553518604</v>
          </cell>
          <cell r="EL135">
            <v>4.7817228644976093E-3</v>
          </cell>
          <cell r="EQ135" t="str">
            <v>Madeira</v>
          </cell>
        </row>
        <row r="136">
          <cell r="A136" t="str">
            <v>SUL AMERICA</v>
          </cell>
          <cell r="C136" t="str">
            <v>N2</v>
          </cell>
          <cell r="F136" t="str">
            <v>IPO</v>
          </cell>
          <cell r="G136" t="str">
            <v>ICVM 400</v>
          </cell>
          <cell r="J136">
            <v>39360</v>
          </cell>
          <cell r="M136" t="str">
            <v>Unibanco</v>
          </cell>
          <cell r="W136">
            <v>31</v>
          </cell>
          <cell r="X136">
            <v>39358</v>
          </cell>
          <cell r="AO136">
            <v>775000000</v>
          </cell>
          <cell r="AP136">
            <v>0</v>
          </cell>
          <cell r="AQ136">
            <v>775000000</v>
          </cell>
          <cell r="BL136">
            <v>19047</v>
          </cell>
          <cell r="DZ136">
            <v>19979</v>
          </cell>
          <cell r="ED136">
            <v>428176795.58011049</v>
          </cell>
          <cell r="EF136">
            <v>8.90986E-2</v>
          </cell>
          <cell r="EH136">
            <v>2.9223200000000001E-2</v>
          </cell>
          <cell r="EJ136">
            <v>0.87409999999999999</v>
          </cell>
          <cell r="EL136">
            <v>7.5782000000000002E-3</v>
          </cell>
          <cell r="EQ136" t="str">
            <v>Seguradoras</v>
          </cell>
        </row>
        <row r="137">
          <cell r="A137" t="str">
            <v>BICBANCO</v>
          </cell>
          <cell r="C137" t="str">
            <v>N1</v>
          </cell>
          <cell r="F137" t="str">
            <v>IPO</v>
          </cell>
          <cell r="G137" t="str">
            <v>ICVM 400</v>
          </cell>
          <cell r="J137">
            <v>39370</v>
          </cell>
          <cell r="M137" t="str">
            <v>UBS</v>
          </cell>
          <cell r="W137">
            <v>11.5</v>
          </cell>
          <cell r="X137">
            <v>39365</v>
          </cell>
          <cell r="AO137">
            <v>492915645</v>
          </cell>
          <cell r="AP137">
            <v>328610430</v>
          </cell>
          <cell r="AQ137">
            <v>821526075</v>
          </cell>
          <cell r="BL137">
            <v>5158</v>
          </cell>
          <cell r="DZ137">
            <v>6257</v>
          </cell>
          <cell r="ED137">
            <v>453881809.3922652</v>
          </cell>
          <cell r="EF137">
            <v>4.918085223283996E-2</v>
          </cell>
          <cell r="EH137">
            <v>8.6446248830263847E-2</v>
          </cell>
          <cell r="EJ137">
            <v>0.84910050177043983</v>
          </cell>
          <cell r="EL137">
            <v>1.5272397166456342E-2</v>
          </cell>
          <cell r="EQ137" t="str">
            <v>Bancos</v>
          </cell>
        </row>
        <row r="138">
          <cell r="A138" t="str">
            <v>TRISUL</v>
          </cell>
          <cell r="C138" t="str">
            <v>NM</v>
          </cell>
          <cell r="F138" t="str">
            <v>IPO</v>
          </cell>
          <cell r="G138" t="str">
            <v>ICVM 400</v>
          </cell>
          <cell r="J138">
            <v>39370</v>
          </cell>
          <cell r="M138" t="str">
            <v>Morgan Stanley</v>
          </cell>
          <cell r="W138">
            <v>11</v>
          </cell>
          <cell r="X138">
            <v>39366</v>
          </cell>
          <cell r="AO138">
            <v>330281050</v>
          </cell>
          <cell r="AP138">
            <v>0</v>
          </cell>
          <cell r="AQ138">
            <v>330281050</v>
          </cell>
          <cell r="BL138">
            <v>2427</v>
          </cell>
          <cell r="DZ138">
            <v>2713</v>
          </cell>
          <cell r="ED138">
            <v>182475718.23204419</v>
          </cell>
          <cell r="EF138">
            <v>5.2722532644321272E-2</v>
          </cell>
          <cell r="EH138">
            <v>3.5100614260749563E-2</v>
          </cell>
          <cell r="EJ138">
            <v>0.90793702889800576</v>
          </cell>
          <cell r="EL138">
            <v>4.239824196923446E-3</v>
          </cell>
          <cell r="EQ138" t="str">
            <v>Construção Civil</v>
          </cell>
        </row>
        <row r="139">
          <cell r="A139" t="str">
            <v>TENDA</v>
          </cell>
          <cell r="C139" t="str">
            <v>NM</v>
          </cell>
          <cell r="F139" t="str">
            <v>IPO</v>
          </cell>
          <cell r="G139" t="str">
            <v>ICVM 400</v>
          </cell>
          <cell r="J139">
            <v>39370</v>
          </cell>
          <cell r="M139" t="str">
            <v>Itaú BBA</v>
          </cell>
          <cell r="W139">
            <v>9</v>
          </cell>
          <cell r="X139">
            <v>39365</v>
          </cell>
          <cell r="AO139">
            <v>603000000</v>
          </cell>
          <cell r="AP139">
            <v>0</v>
          </cell>
          <cell r="AQ139">
            <v>603000000</v>
          </cell>
          <cell r="BL139">
            <v>10040</v>
          </cell>
          <cell r="DZ139">
            <v>10636</v>
          </cell>
          <cell r="ED139">
            <v>333149171.27071822</v>
          </cell>
          <cell r="EF139">
            <v>9.7599935107073335E-2</v>
          </cell>
          <cell r="EH139">
            <v>0.21687780661907852</v>
          </cell>
          <cell r="EJ139">
            <v>0.68289958468526935</v>
          </cell>
          <cell r="EL139">
            <v>2.6226735885788448E-3</v>
          </cell>
          <cell r="EQ139" t="str">
            <v>Construção Civil</v>
          </cell>
        </row>
        <row r="140">
          <cell r="A140" t="str">
            <v>SEB</v>
          </cell>
          <cell r="C140" t="str">
            <v>N2</v>
          </cell>
          <cell r="F140" t="str">
            <v>IPO</v>
          </cell>
          <cell r="G140" t="str">
            <v>ICVM 400</v>
          </cell>
          <cell r="J140">
            <v>39373</v>
          </cell>
          <cell r="M140" t="str">
            <v>Credit Suisse</v>
          </cell>
          <cell r="W140">
            <v>33</v>
          </cell>
          <cell r="X140">
            <v>39371</v>
          </cell>
          <cell r="AO140">
            <v>288750000</v>
          </cell>
          <cell r="AP140">
            <v>123750000</v>
          </cell>
          <cell r="AQ140">
            <v>412500000</v>
          </cell>
          <cell r="BL140">
            <v>3681</v>
          </cell>
          <cell r="DZ140">
            <v>3875</v>
          </cell>
          <cell r="ED140">
            <v>227900552.48618785</v>
          </cell>
          <cell r="EF140">
            <v>6.445892173913044E-2</v>
          </cell>
          <cell r="EH140">
            <v>0.13756173913043479</v>
          </cell>
          <cell r="EJ140">
            <v>0.79674782608695649</v>
          </cell>
          <cell r="EL140">
            <v>1.231513043478261E-3</v>
          </cell>
          <cell r="EQ140" t="str">
            <v>Serviços Educacionais</v>
          </cell>
        </row>
        <row r="141">
          <cell r="A141" t="str">
            <v>BR MALLS PAR</v>
          </cell>
          <cell r="C141" t="str">
            <v>NM</v>
          </cell>
          <cell r="F141" t="str">
            <v>FOLLOW-ON</v>
          </cell>
          <cell r="G141" t="str">
            <v>ICVM 400</v>
          </cell>
          <cell r="J141">
            <v>39374</v>
          </cell>
          <cell r="M141" t="str">
            <v>Itaú BBA</v>
          </cell>
          <cell r="W141">
            <v>25</v>
          </cell>
          <cell r="X141">
            <v>39372</v>
          </cell>
          <cell r="AO141">
            <v>664450000</v>
          </cell>
          <cell r="AP141">
            <v>0</v>
          </cell>
          <cell r="AQ141">
            <v>664450000</v>
          </cell>
          <cell r="BL141">
            <v>2294</v>
          </cell>
          <cell r="DZ141">
            <v>2643</v>
          </cell>
          <cell r="ED141">
            <v>369138888.8888889</v>
          </cell>
          <cell r="EF141">
            <v>3.0928407407407408E-2</v>
          </cell>
          <cell r="EH141">
            <v>7.591188888888889E-2</v>
          </cell>
          <cell r="EJ141">
            <v>0.6919494074074074</v>
          </cell>
          <cell r="EL141">
            <v>0.2012102962962963</v>
          </cell>
          <cell r="EQ141" t="str">
            <v>Exploração de Imóveis</v>
          </cell>
        </row>
        <row r="142">
          <cell r="A142" t="str">
            <v>MARISA</v>
          </cell>
          <cell r="C142" t="str">
            <v>NM</v>
          </cell>
          <cell r="F142" t="str">
            <v>IPO</v>
          </cell>
          <cell r="G142" t="str">
            <v>ICVM 400</v>
          </cell>
          <cell r="J142">
            <v>39377</v>
          </cell>
          <cell r="M142" t="str">
            <v>Credit Suisse</v>
          </cell>
          <cell r="W142">
            <v>10</v>
          </cell>
          <cell r="X142">
            <v>39373</v>
          </cell>
          <cell r="AO142">
            <v>506000000</v>
          </cell>
          <cell r="AP142">
            <v>0</v>
          </cell>
          <cell r="AQ142">
            <v>506000000</v>
          </cell>
          <cell r="BL142">
            <v>13012</v>
          </cell>
          <cell r="DZ142">
            <v>13733</v>
          </cell>
          <cell r="ED142">
            <v>278021978.02197802</v>
          </cell>
          <cell r="EF142">
            <v>8.9357351778656127E-2</v>
          </cell>
          <cell r="EH142">
            <v>0.26814037549407116</v>
          </cell>
          <cell r="EJ142">
            <v>0.63801079051383403</v>
          </cell>
          <cell r="EL142">
            <v>4.4914822134387352E-3</v>
          </cell>
          <cell r="EQ142" t="str">
            <v>Tecidos, Vestuário e Calçados</v>
          </cell>
        </row>
        <row r="143">
          <cell r="A143" t="str">
            <v>PDG REALT</v>
          </cell>
          <cell r="C143" t="str">
            <v>NM</v>
          </cell>
          <cell r="F143" t="str">
            <v>FOLLOW-ON</v>
          </cell>
          <cell r="G143" t="str">
            <v>ICVM 400</v>
          </cell>
          <cell r="J143">
            <v>39378</v>
          </cell>
          <cell r="M143" t="str">
            <v>UBS</v>
          </cell>
          <cell r="W143">
            <v>25</v>
          </cell>
          <cell r="X143">
            <v>39377</v>
          </cell>
          <cell r="AO143">
            <v>575000000</v>
          </cell>
          <cell r="AP143">
            <v>0</v>
          </cell>
          <cell r="AQ143">
            <v>575000000</v>
          </cell>
          <cell r="BL143">
            <v>931</v>
          </cell>
          <cell r="DZ143">
            <v>1062</v>
          </cell>
          <cell r="ED143">
            <v>319444444.44444442</v>
          </cell>
          <cell r="EF143">
            <v>6.0863130434782607E-2</v>
          </cell>
          <cell r="EH143">
            <v>0.24528152173913043</v>
          </cell>
          <cell r="EJ143">
            <v>0.60593360869565216</v>
          </cell>
          <cell r="EL143">
            <v>8.7921739130434787E-2</v>
          </cell>
          <cell r="EQ143" t="str">
            <v>Construção Civil</v>
          </cell>
        </row>
        <row r="144">
          <cell r="A144" t="str">
            <v>AGRENCO</v>
          </cell>
          <cell r="C144" t="str">
            <v>BDR</v>
          </cell>
          <cell r="F144" t="str">
            <v>IPO</v>
          </cell>
          <cell r="G144" t="str">
            <v>ICVM 400</v>
          </cell>
          <cell r="J144">
            <v>39380</v>
          </cell>
          <cell r="M144" t="str">
            <v>Credit Suisse</v>
          </cell>
          <cell r="W144">
            <v>10.4</v>
          </cell>
          <cell r="X144">
            <v>39378</v>
          </cell>
          <cell r="AO144">
            <v>666187454.39999998</v>
          </cell>
          <cell r="AP144">
            <v>0</v>
          </cell>
          <cell r="AQ144">
            <v>666187454.39999998</v>
          </cell>
          <cell r="BL144">
            <v>799</v>
          </cell>
          <cell r="DZ144">
            <v>908</v>
          </cell>
          <cell r="ED144">
            <v>372379795.64002234</v>
          </cell>
          <cell r="EF144">
            <v>9.2767354635136332E-3</v>
          </cell>
          <cell r="EH144">
            <v>2.572742621386653E-2</v>
          </cell>
          <cell r="EJ144">
            <v>0.87839274994554739</v>
          </cell>
          <cell r="EL144">
            <v>8.6603088377072535E-2</v>
          </cell>
          <cell r="EQ144" t="str">
            <v>Alimentos</v>
          </cell>
        </row>
        <row r="145">
          <cell r="A145" t="str">
            <v>BOVESPA HLD</v>
          </cell>
          <cell r="C145" t="str">
            <v>NM</v>
          </cell>
          <cell r="F145" t="str">
            <v>IPO</v>
          </cell>
          <cell r="G145" t="str">
            <v>ICVM 400</v>
          </cell>
          <cell r="J145">
            <v>39381</v>
          </cell>
          <cell r="M145" t="str">
            <v>Credit Suisse</v>
          </cell>
          <cell r="W145">
            <v>23</v>
          </cell>
          <cell r="X145">
            <v>39379</v>
          </cell>
          <cell r="AO145">
            <v>0</v>
          </cell>
          <cell r="AP145">
            <v>6625520875</v>
          </cell>
          <cell r="AQ145">
            <v>6625520875</v>
          </cell>
          <cell r="BL145">
            <v>63929</v>
          </cell>
          <cell r="DZ145">
            <v>67914</v>
          </cell>
          <cell r="ED145">
            <v>3733108448.8393059</v>
          </cell>
          <cell r="EF145">
            <v>8.9246342311162061E-2</v>
          </cell>
          <cell r="EH145">
            <v>0.12731819126598104</v>
          </cell>
          <cell r="EJ145">
            <v>0.78023958214455102</v>
          </cell>
          <cell r="EL145">
            <v>3.1958842783058926E-3</v>
          </cell>
          <cell r="EQ145" t="str">
            <v>Serviços Financeiros Diversos</v>
          </cell>
        </row>
        <row r="146">
          <cell r="A146" t="str">
            <v>BR BROKERS</v>
          </cell>
          <cell r="C146" t="str">
            <v>NM</v>
          </cell>
          <cell r="F146" t="str">
            <v>IPO</v>
          </cell>
          <cell r="G146" t="str">
            <v>ICVM 400</v>
          </cell>
          <cell r="J146">
            <v>39384</v>
          </cell>
          <cell r="M146" t="str">
            <v>Credit Suisse</v>
          </cell>
          <cell r="W146">
            <v>950</v>
          </cell>
          <cell r="X146">
            <v>39380</v>
          </cell>
          <cell r="AO146">
            <v>304017100</v>
          </cell>
          <cell r="AP146">
            <v>395087900</v>
          </cell>
          <cell r="AQ146">
            <v>699105000</v>
          </cell>
          <cell r="BL146">
            <v>13</v>
          </cell>
          <cell r="DZ146">
            <v>130</v>
          </cell>
          <cell r="ED146">
            <v>397218750</v>
          </cell>
          <cell r="EF146">
            <v>5.2996331023236849E-3</v>
          </cell>
          <cell r="EH146">
            <v>1.4841690447071614E-2</v>
          </cell>
          <cell r="EJ146">
            <v>0.97985867645060465</v>
          </cell>
          <cell r="EL146">
            <v>0</v>
          </cell>
          <cell r="EQ146" t="str">
            <v>Intermediação Imobiliária</v>
          </cell>
        </row>
        <row r="147">
          <cell r="A147" t="str">
            <v>AMIL</v>
          </cell>
          <cell r="C147" t="str">
            <v>NM</v>
          </cell>
          <cell r="F147" t="str">
            <v>IPO</v>
          </cell>
          <cell r="G147" t="str">
            <v>ICVM 400</v>
          </cell>
          <cell r="J147">
            <v>39384</v>
          </cell>
          <cell r="M147" t="str">
            <v>Credit Suisse</v>
          </cell>
          <cell r="W147">
            <v>14</v>
          </cell>
          <cell r="X147">
            <v>39380</v>
          </cell>
          <cell r="AO147">
            <v>994700000</v>
          </cell>
          <cell r="AP147">
            <v>406000000</v>
          </cell>
          <cell r="AQ147">
            <v>1400700000</v>
          </cell>
          <cell r="BL147">
            <v>4340</v>
          </cell>
          <cell r="DZ147">
            <v>4675</v>
          </cell>
          <cell r="ED147">
            <v>795852272.72727275</v>
          </cell>
          <cell r="EF147">
            <v>3.8417471264367814E-2</v>
          </cell>
          <cell r="EH147">
            <v>0.15639552223888056</v>
          </cell>
          <cell r="EJ147">
            <v>0.80452467766116942</v>
          </cell>
          <cell r="EL147">
            <v>6.623288355822089E-4</v>
          </cell>
          <cell r="EQ147" t="str">
            <v>Serv. Méd. Hospit., Análises e Diagnósticos</v>
          </cell>
        </row>
        <row r="148">
          <cell r="A148" t="str">
            <v>HELBOR</v>
          </cell>
          <cell r="C148" t="str">
            <v>NM</v>
          </cell>
          <cell r="F148" t="str">
            <v>IPO</v>
          </cell>
          <cell r="G148" t="str">
            <v>ICVM 400</v>
          </cell>
          <cell r="J148">
            <v>39384</v>
          </cell>
          <cell r="M148" t="str">
            <v>Bradesco BBI</v>
          </cell>
          <cell r="W148">
            <v>11</v>
          </cell>
          <cell r="X148">
            <v>39379</v>
          </cell>
          <cell r="AO148">
            <v>251832053</v>
          </cell>
          <cell r="AP148">
            <v>0</v>
          </cell>
          <cell r="AQ148">
            <v>251832053</v>
          </cell>
          <cell r="BL148">
            <v>709</v>
          </cell>
          <cell r="DZ148">
            <v>845</v>
          </cell>
          <cell r="ED148">
            <v>143086393.75</v>
          </cell>
          <cell r="EF148">
            <v>6.4511614699428538E-2</v>
          </cell>
          <cell r="EH148">
            <v>0.34599387067754239</v>
          </cell>
          <cell r="EJ148">
            <v>0.55525000428967808</v>
          </cell>
          <cell r="EL148">
            <v>3.4244510333350985E-2</v>
          </cell>
          <cell r="EQ148" t="str">
            <v>Construção Civil</v>
          </cell>
        </row>
        <row r="149">
          <cell r="A149" t="str">
            <v>LAEP</v>
          </cell>
          <cell r="C149" t="str">
            <v>BDR</v>
          </cell>
          <cell r="F149" t="str">
            <v>IPO</v>
          </cell>
          <cell r="G149" t="str">
            <v>ICVM 400</v>
          </cell>
          <cell r="J149">
            <v>39386</v>
          </cell>
          <cell r="M149" t="str">
            <v>UBS</v>
          </cell>
          <cell r="W149">
            <v>7.5</v>
          </cell>
          <cell r="X149">
            <v>39381</v>
          </cell>
          <cell r="AO149">
            <v>507611107.5</v>
          </cell>
          <cell r="AP149">
            <v>0</v>
          </cell>
          <cell r="AQ149">
            <v>507611107.5</v>
          </cell>
          <cell r="BL149">
            <v>556</v>
          </cell>
          <cell r="DZ149">
            <v>706</v>
          </cell>
          <cell r="ED149">
            <v>291730521.55172414</v>
          </cell>
          <cell r="EF149">
            <v>8.3484727528347086E-3</v>
          </cell>
          <cell r="EH149">
            <v>0.26550742883418876</v>
          </cell>
          <cell r="EJ149">
            <v>0.72549238395064075</v>
          </cell>
          <cell r="EL149">
            <v>6.5171446233571633E-4</v>
          </cell>
          <cell r="EQ149" t="str">
            <v>Laticínios</v>
          </cell>
        </row>
        <row r="150">
          <cell r="A150" t="str">
            <v>PANAMERICANO</v>
          </cell>
          <cell r="C150" t="str">
            <v>N1</v>
          </cell>
          <cell r="F150" t="str">
            <v>IPO</v>
          </cell>
          <cell r="G150" t="str">
            <v>ICVM 400</v>
          </cell>
          <cell r="J150">
            <v>39405</v>
          </cell>
          <cell r="M150" t="str">
            <v>UBS</v>
          </cell>
          <cell r="W150">
            <v>10</v>
          </cell>
          <cell r="X150">
            <v>39399</v>
          </cell>
          <cell r="AO150">
            <v>700426000</v>
          </cell>
          <cell r="AP150">
            <v>0</v>
          </cell>
          <cell r="AQ150">
            <v>700426000</v>
          </cell>
          <cell r="BL150">
            <v>21044</v>
          </cell>
          <cell r="DZ150">
            <v>21792</v>
          </cell>
          <cell r="ED150">
            <v>397969318.18181819</v>
          </cell>
          <cell r="EF150">
            <v>0.10352751008977844</v>
          </cell>
          <cell r="EH150">
            <v>0.22404301540235566</v>
          </cell>
          <cell r="EJ150">
            <v>0.6705939584877687</v>
          </cell>
          <cell r="EL150">
            <v>1.8355160200971914E-3</v>
          </cell>
          <cell r="EQ150" t="str">
            <v>Bancos</v>
          </cell>
        </row>
        <row r="151">
          <cell r="A151" t="str">
            <v>BMF</v>
          </cell>
          <cell r="C151" t="str">
            <v>NM</v>
          </cell>
          <cell r="F151" t="str">
            <v>IPO</v>
          </cell>
          <cell r="G151" t="str">
            <v>ICVM 400</v>
          </cell>
          <cell r="J151">
            <v>39416</v>
          </cell>
          <cell r="M151" t="str">
            <v>Bradesco BBI</v>
          </cell>
          <cell r="W151">
            <v>20</v>
          </cell>
          <cell r="X151">
            <v>39414</v>
          </cell>
          <cell r="AO151">
            <v>0</v>
          </cell>
          <cell r="AP151">
            <v>5983696920</v>
          </cell>
          <cell r="AQ151">
            <v>5983696920</v>
          </cell>
          <cell r="BL151">
            <v>253707</v>
          </cell>
          <cell r="DZ151">
            <v>260946</v>
          </cell>
          <cell r="ED151">
            <v>3361627483.1460671</v>
          </cell>
          <cell r="EF151">
            <v>9.9923018828299875E-2</v>
          </cell>
          <cell r="EH151">
            <v>0.1218459607409394</v>
          </cell>
          <cell r="EJ151">
            <v>0.77356249186497905</v>
          </cell>
          <cell r="EL151">
            <v>4.6685285657817044E-3</v>
          </cell>
          <cell r="EQ151" t="str">
            <v>Serviços Financeiros Diversos</v>
          </cell>
        </row>
        <row r="152">
          <cell r="A152" t="str">
            <v>MPX ENERGIA</v>
          </cell>
          <cell r="C152" t="str">
            <v>NM</v>
          </cell>
          <cell r="F152" t="str">
            <v>IPO</v>
          </cell>
          <cell r="G152" t="str">
            <v>ICVM 400</v>
          </cell>
          <cell r="J152">
            <v>39430</v>
          </cell>
          <cell r="M152" t="str">
            <v>UBS</v>
          </cell>
          <cell r="W152">
            <v>1006.63</v>
          </cell>
          <cell r="X152">
            <v>39428</v>
          </cell>
          <cell r="AO152">
            <v>2035409886.52</v>
          </cell>
          <cell r="AP152">
            <v>0</v>
          </cell>
          <cell r="AQ152">
            <v>2035409886.52</v>
          </cell>
          <cell r="BL152">
            <v>148</v>
          </cell>
          <cell r="DZ152">
            <v>325</v>
          </cell>
          <cell r="ED152">
            <v>1133617313.5728209</v>
          </cell>
          <cell r="EF152">
            <v>2.1324128581503527E-2</v>
          </cell>
          <cell r="EH152">
            <v>8.8957495167413941E-2</v>
          </cell>
          <cell r="EJ152">
            <v>0.71427266382375398</v>
          </cell>
          <cell r="EL152">
            <v>0.17544571242732848</v>
          </cell>
          <cell r="EQ152" t="str">
            <v>Energia Elétrica</v>
          </cell>
        </row>
        <row r="153">
          <cell r="A153" t="str">
            <v>PERDIGAO S/A</v>
          </cell>
          <cell r="C153" t="str">
            <v>NM</v>
          </cell>
          <cell r="F153" t="str">
            <v>FOLLOW-ON</v>
          </cell>
          <cell r="G153" t="str">
            <v>ICVM 400</v>
          </cell>
          <cell r="J153">
            <v>39430</v>
          </cell>
          <cell r="M153" t="str">
            <v>Credit Suisse</v>
          </cell>
          <cell r="W153">
            <v>45</v>
          </cell>
          <cell r="X153">
            <v>39428</v>
          </cell>
          <cell r="AO153">
            <v>933489000</v>
          </cell>
          <cell r="AP153">
            <v>0</v>
          </cell>
          <cell r="AQ153">
            <v>933489000</v>
          </cell>
          <cell r="BL153">
            <v>13888</v>
          </cell>
          <cell r="DZ153">
            <v>14688</v>
          </cell>
          <cell r="ED153">
            <v>519904761.90476185</v>
          </cell>
          <cell r="EF153">
            <v>9.8723608695652179E-2</v>
          </cell>
          <cell r="EH153">
            <v>0.5772429130434783</v>
          </cell>
          <cell r="EJ153">
            <v>0.26474652173913044</v>
          </cell>
          <cell r="EL153">
            <v>5.9286956521739133E-2</v>
          </cell>
          <cell r="EQ153" t="str">
            <v>Carnes e Derivados</v>
          </cell>
        </row>
        <row r="154">
          <cell r="A154" t="str">
            <v>BRASIL</v>
          </cell>
          <cell r="C154" t="str">
            <v>NM</v>
          </cell>
          <cell r="F154" t="str">
            <v>FOLLOW-ON</v>
          </cell>
          <cell r="G154" t="str">
            <v>ICVM 400</v>
          </cell>
          <cell r="J154">
            <v>39433</v>
          </cell>
          <cell r="M154" t="str">
            <v>BB Investimentos</v>
          </cell>
          <cell r="W154">
            <v>29.25</v>
          </cell>
          <cell r="X154">
            <v>39429</v>
          </cell>
          <cell r="AO154">
            <v>0</v>
          </cell>
          <cell r="AP154">
            <v>3443996702.25</v>
          </cell>
          <cell r="AQ154">
            <v>3443996702.25</v>
          </cell>
          <cell r="BL154">
            <v>115013</v>
          </cell>
          <cell r="DZ154">
            <v>122023</v>
          </cell>
          <cell r="ED154">
            <v>1900765330.4542193</v>
          </cell>
          <cell r="EF154">
            <v>0.36502331250163439</v>
          </cell>
          <cell r="EH154">
            <v>0.17009455224428272</v>
          </cell>
          <cell r="EJ154">
            <v>0.43541776840852087</v>
          </cell>
          <cell r="EL154">
            <v>2.9464366845562071E-2</v>
          </cell>
          <cell r="EQ154" t="str">
            <v>Bancos</v>
          </cell>
        </row>
        <row r="155">
          <cell r="A155" t="str">
            <v>TEMPO PART</v>
          </cell>
          <cell r="C155" t="str">
            <v>NM</v>
          </cell>
          <cell r="F155" t="str">
            <v>IPO</v>
          </cell>
          <cell r="G155" t="str">
            <v>ICVM 400</v>
          </cell>
          <cell r="J155">
            <v>39435</v>
          </cell>
          <cell r="M155" t="str">
            <v>UBS</v>
          </cell>
          <cell r="W155">
            <v>7</v>
          </cell>
          <cell r="X155">
            <v>39433</v>
          </cell>
          <cell r="AO155">
            <v>393750000</v>
          </cell>
          <cell r="AP155">
            <v>26045600</v>
          </cell>
          <cell r="AQ155">
            <v>419795600</v>
          </cell>
          <cell r="BL155">
            <v>3791</v>
          </cell>
          <cell r="DZ155">
            <v>3938</v>
          </cell>
          <cell r="ED155">
            <v>233025589.78628919</v>
          </cell>
          <cell r="EF155">
            <v>8.6450086956521732E-2</v>
          </cell>
          <cell r="EH155">
            <v>6.7374716908212562E-2</v>
          </cell>
          <cell r="EJ155">
            <v>0.83723370048309176</v>
          </cell>
          <cell r="EL155">
            <v>8.9414956521739128E-3</v>
          </cell>
          <cell r="EQ155" t="str">
            <v>Serv. Méd. Hospit., Análises e Diagnósticos</v>
          </cell>
        </row>
        <row r="156">
          <cell r="A156" t="str">
            <v>NUTRIPLANT</v>
          </cell>
          <cell r="C156" t="str">
            <v>MA</v>
          </cell>
          <cell r="F156" t="str">
            <v>IPO</v>
          </cell>
          <cell r="G156" t="str">
            <v>ICVM 400</v>
          </cell>
          <cell r="J156">
            <v>39491</v>
          </cell>
          <cell r="M156" t="str">
            <v>HSBC</v>
          </cell>
          <cell r="W156">
            <v>10</v>
          </cell>
          <cell r="X156">
            <v>39489</v>
          </cell>
          <cell r="AO156">
            <v>20701000</v>
          </cell>
          <cell r="AP156">
            <v>0</v>
          </cell>
          <cell r="AQ156">
            <v>20701000</v>
          </cell>
          <cell r="BL156">
            <v>1</v>
          </cell>
          <cell r="DZ156">
            <v>8</v>
          </cell>
          <cell r="ED156">
            <v>11859639.071899168</v>
          </cell>
          <cell r="EF156">
            <v>0.36713202260760347</v>
          </cell>
          <cell r="EH156">
            <v>0.25607458576880343</v>
          </cell>
          <cell r="EJ156">
            <v>0.10627505917588523</v>
          </cell>
          <cell r="EL156">
            <v>0.27051833244770784</v>
          </cell>
          <cell r="EQ156" t="str">
            <v>Fertilizantes e Defensivos</v>
          </cell>
        </row>
        <row r="157">
          <cell r="A157" t="str">
            <v>GP INVEST ¹</v>
          </cell>
          <cell r="C157" t="str">
            <v>BDR</v>
          </cell>
          <cell r="F157" t="str">
            <v>FOLLOW-ON</v>
          </cell>
          <cell r="G157" t="str">
            <v>ICVM 400</v>
          </cell>
          <cell r="J157">
            <v>39504</v>
          </cell>
          <cell r="M157" t="str">
            <v>Credit Suisse</v>
          </cell>
          <cell r="W157">
            <v>59</v>
          </cell>
          <cell r="X157">
            <v>39500</v>
          </cell>
          <cell r="AO157">
            <v>366707007</v>
          </cell>
          <cell r="AP157">
            <v>0</v>
          </cell>
          <cell r="AQ157">
            <v>366707007</v>
          </cell>
          <cell r="BL157">
            <v>48</v>
          </cell>
          <cell r="DZ157">
            <v>159</v>
          </cell>
          <cell r="ED157">
            <v>217269230.35904729</v>
          </cell>
          <cell r="EF157">
            <v>4.974906574392237E-2</v>
          </cell>
          <cell r="EH157">
            <v>6.8729101214038163E-2</v>
          </cell>
          <cell r="EJ157">
            <v>0.87732256776866002</v>
          </cell>
          <cell r="EL157">
            <v>4.1992652733794092E-3</v>
          </cell>
          <cell r="EQ157" t="str">
            <v>Holdings Diversificadas</v>
          </cell>
        </row>
        <row r="158">
          <cell r="A158" t="str">
            <v>REDECARD</v>
          </cell>
          <cell r="C158" t="str">
            <v>NM</v>
          </cell>
          <cell r="F158" t="str">
            <v>FOLLOW-ON</v>
          </cell>
          <cell r="G158" t="str">
            <v>ICVM 400</v>
          </cell>
          <cell r="J158">
            <v>39521</v>
          </cell>
          <cell r="M158" t="str">
            <v>Citi</v>
          </cell>
          <cell r="W158">
            <v>26</v>
          </cell>
          <cell r="X158">
            <v>39519</v>
          </cell>
          <cell r="AO158">
            <v>0</v>
          </cell>
          <cell r="AP158">
            <v>1216703202</v>
          </cell>
          <cell r="AQ158">
            <v>1216703202</v>
          </cell>
          <cell r="BL158">
            <v>7218</v>
          </cell>
          <cell r="DZ158">
            <v>7714</v>
          </cell>
          <cell r="ED158">
            <v>718115565.13014233</v>
          </cell>
          <cell r="EF158">
            <v>8.1552876524771403E-2</v>
          </cell>
          <cell r="EH158">
            <v>0.12009384849140883</v>
          </cell>
          <cell r="EJ158">
            <v>0.79656163673020397</v>
          </cell>
          <cell r="EL158">
            <v>1.7916382536157737E-3</v>
          </cell>
          <cell r="EQ158" t="str">
            <v>Serviços Financeiros Diversos</v>
          </cell>
        </row>
        <row r="159">
          <cell r="A159" t="str">
            <v>HYPERMARCAS</v>
          </cell>
          <cell r="C159" t="str">
            <v>NM</v>
          </cell>
          <cell r="F159" t="str">
            <v>IPO</v>
          </cell>
          <cell r="G159" t="str">
            <v>ICVM 400</v>
          </cell>
          <cell r="J159">
            <v>39556</v>
          </cell>
          <cell r="M159" t="str">
            <v>Citi</v>
          </cell>
          <cell r="W159">
            <v>17</v>
          </cell>
          <cell r="X159">
            <v>39554</v>
          </cell>
          <cell r="AO159">
            <v>612390099</v>
          </cell>
          <cell r="AP159">
            <v>0</v>
          </cell>
          <cell r="AQ159">
            <v>612390099</v>
          </cell>
          <cell r="BL159">
            <v>12933</v>
          </cell>
          <cell r="DZ159">
            <v>13465</v>
          </cell>
          <cell r="ED159">
            <v>366700658.08383232</v>
          </cell>
          <cell r="EF159">
            <v>9.8651726334894788E-2</v>
          </cell>
          <cell r="EH159">
            <v>1.5599772666556249E-2</v>
          </cell>
          <cell r="EJ159">
            <v>0.85081234252812543</v>
          </cell>
          <cell r="EL159">
            <v>3.4936158470423563E-2</v>
          </cell>
          <cell r="EQ159" t="str">
            <v>Produtos Diversos</v>
          </cell>
        </row>
        <row r="160">
          <cell r="A160" t="str">
            <v>ANHANGUERA</v>
          </cell>
          <cell r="C160" t="str">
            <v>N2</v>
          </cell>
          <cell r="F160" t="str">
            <v>FOLLOW-ON</v>
          </cell>
          <cell r="G160" t="str">
            <v>ICVM 400</v>
          </cell>
          <cell r="J160">
            <v>39561</v>
          </cell>
          <cell r="M160" t="str">
            <v>Credit Suisse</v>
          </cell>
          <cell r="W160">
            <v>26</v>
          </cell>
          <cell r="X160">
            <v>39560</v>
          </cell>
          <cell r="AO160">
            <v>508300000</v>
          </cell>
          <cell r="AP160">
            <v>0</v>
          </cell>
          <cell r="AQ160">
            <v>508300000</v>
          </cell>
          <cell r="BL160">
            <v>1064</v>
          </cell>
          <cell r="DZ160">
            <v>1207</v>
          </cell>
          <cell r="ED160">
            <v>304371257.48502994</v>
          </cell>
          <cell r="EF160">
            <v>3.9412327365728902E-2</v>
          </cell>
          <cell r="EH160">
            <v>7.6726342710997447E-4</v>
          </cell>
          <cell r="EJ160">
            <v>0.9575172890025575</v>
          </cell>
          <cell r="EL160">
            <v>2.3031202046035807E-3</v>
          </cell>
          <cell r="EQ160" t="str">
            <v>Serviços Educacionais</v>
          </cell>
        </row>
        <row r="161">
          <cell r="A161" t="str">
            <v>COPASA</v>
          </cell>
          <cell r="C161" t="str">
            <v>NM</v>
          </cell>
          <cell r="F161" t="str">
            <v>FOLLOW-ON</v>
          </cell>
          <cell r="G161" t="str">
            <v>ICVM 400</v>
          </cell>
          <cell r="J161">
            <v>39563</v>
          </cell>
          <cell r="M161" t="str">
            <v>BB Investimentos</v>
          </cell>
          <cell r="W161">
            <v>24.5</v>
          </cell>
          <cell r="X161">
            <v>39561</v>
          </cell>
          <cell r="AO161">
            <v>0</v>
          </cell>
          <cell r="AP161">
            <v>460024764.5</v>
          </cell>
          <cell r="AQ161">
            <v>460024764.5</v>
          </cell>
          <cell r="BL161">
            <v>747</v>
          </cell>
          <cell r="DZ161">
            <v>939</v>
          </cell>
          <cell r="ED161">
            <v>275463930.83832335</v>
          </cell>
          <cell r="EF161">
            <v>2.434790768747842E-2</v>
          </cell>
          <cell r="EH161">
            <v>0.20458305348472169</v>
          </cell>
          <cell r="EJ161">
            <v>0.77085621985031194</v>
          </cell>
          <cell r="EL161">
            <v>2.1281897748789565E-4</v>
          </cell>
          <cell r="EQ161" t="str">
            <v>Água e Saneamento</v>
          </cell>
        </row>
        <row r="162">
          <cell r="A162" t="str">
            <v>GERDAU</v>
          </cell>
          <cell r="C162" t="str">
            <v>N1</v>
          </cell>
          <cell r="F162" t="str">
            <v>FOLLOW-ON</v>
          </cell>
          <cell r="G162" t="str">
            <v>ICVM 400</v>
          </cell>
          <cell r="J162">
            <v>39566</v>
          </cell>
          <cell r="M162" t="str">
            <v>Itaú BBA</v>
          </cell>
          <cell r="W162">
            <v>60.3</v>
          </cell>
          <cell r="X162">
            <v>39562</v>
          </cell>
          <cell r="AO162">
            <v>2900252959.1999998</v>
          </cell>
          <cell r="AP162">
            <v>0</v>
          </cell>
          <cell r="AQ162">
            <v>2900252959.1999998</v>
          </cell>
          <cell r="BL162">
            <v>9770</v>
          </cell>
          <cell r="DZ162">
            <v>10800</v>
          </cell>
          <cell r="ED162">
            <v>1736678418.6826346</v>
          </cell>
          <cell r="EF162">
            <v>8.6270816863166525E-2</v>
          </cell>
          <cell r="EH162">
            <v>0.11988496844630683</v>
          </cell>
          <cell r="EJ162">
            <v>0.289346850776588</v>
          </cell>
          <cell r="EL162">
            <v>0.50449736391393873</v>
          </cell>
          <cell r="EQ162" t="str">
            <v>Siderurgia</v>
          </cell>
        </row>
        <row r="163">
          <cell r="A163" t="str">
            <v>GERDAU MET</v>
          </cell>
          <cell r="C163" t="str">
            <v>N1</v>
          </cell>
          <cell r="F163" t="str">
            <v>FOLLOW-ON</v>
          </cell>
          <cell r="G163" t="str">
            <v>ICVM 400</v>
          </cell>
          <cell r="J163">
            <v>39566</v>
          </cell>
          <cell r="M163" t="str">
            <v>Itaú BBA</v>
          </cell>
          <cell r="W163">
            <v>78.349999999999994</v>
          </cell>
          <cell r="X163">
            <v>39562</v>
          </cell>
          <cell r="AO163">
            <v>1505181301.55</v>
          </cell>
          <cell r="AP163">
            <v>0</v>
          </cell>
          <cell r="AQ163">
            <v>1505181301.55</v>
          </cell>
          <cell r="BL163">
            <v>3238</v>
          </cell>
          <cell r="DZ163">
            <v>3907</v>
          </cell>
          <cell r="ED163">
            <v>901306168.59281433</v>
          </cell>
          <cell r="EF163">
            <v>0.21396582675346351</v>
          </cell>
          <cell r="EH163">
            <v>0.35649979155163924</v>
          </cell>
          <cell r="EJ163">
            <v>0.16128203263620991</v>
          </cell>
          <cell r="EL163">
            <v>0.26825234905868739</v>
          </cell>
          <cell r="EQ163" t="str">
            <v>Siderurgia</v>
          </cell>
        </row>
        <row r="164">
          <cell r="A164" t="str">
            <v>LE LIS BLANC</v>
          </cell>
          <cell r="C164" t="str">
            <v>NM</v>
          </cell>
          <cell r="F164" t="str">
            <v>IPO</v>
          </cell>
          <cell r="G164" t="str">
            <v>ICVM 400</v>
          </cell>
          <cell r="J164">
            <v>39567</v>
          </cell>
          <cell r="M164" t="str">
            <v>Merrill Lynch</v>
          </cell>
          <cell r="W164">
            <v>6.75</v>
          </cell>
          <cell r="X164">
            <v>39563</v>
          </cell>
          <cell r="AO164">
            <v>150187500</v>
          </cell>
          <cell r="AP164">
            <v>0</v>
          </cell>
          <cell r="AQ164">
            <v>150187500</v>
          </cell>
          <cell r="BL164">
            <v>270</v>
          </cell>
          <cell r="DZ164">
            <v>318</v>
          </cell>
          <cell r="ED164">
            <v>87828947.368421048</v>
          </cell>
          <cell r="EF164">
            <v>1.1775909156245509E-2</v>
          </cell>
          <cell r="EH164">
            <v>5.7334541396346413E-3</v>
          </cell>
          <cell r="EJ164">
            <v>0.86861830215464819</v>
          </cell>
          <cell r="EL164">
            <v>0.11387233454947164</v>
          </cell>
          <cell r="EQ164" t="str">
            <v>Tecidos, Vestuário e Calçados</v>
          </cell>
        </row>
        <row r="165">
          <cell r="A165" t="str">
            <v>OGX PETROLEO</v>
          </cell>
          <cell r="C165" t="str">
            <v>NM</v>
          </cell>
          <cell r="F165" t="str">
            <v>IPO</v>
          </cell>
          <cell r="G165" t="str">
            <v>ICVM 400</v>
          </cell>
          <cell r="J165">
            <v>39612</v>
          </cell>
          <cell r="M165" t="str">
            <v>UBS</v>
          </cell>
          <cell r="W165">
            <v>1131</v>
          </cell>
          <cell r="X165">
            <v>39610</v>
          </cell>
          <cell r="AO165">
            <v>6711662763</v>
          </cell>
          <cell r="AP165">
            <v>0</v>
          </cell>
          <cell r="AQ165">
            <v>6711662763</v>
          </cell>
          <cell r="BL165">
            <v>1308</v>
          </cell>
          <cell r="DZ165">
            <v>2560</v>
          </cell>
          <cell r="ED165">
            <v>4101480544.4879003</v>
          </cell>
          <cell r="EF165">
            <v>8.0661270554960987E-2</v>
          </cell>
          <cell r="EH165">
            <v>8.4198182321575027E-2</v>
          </cell>
          <cell r="EJ165">
            <v>0.63463190857582719</v>
          </cell>
          <cell r="EL165">
            <v>0.20050863854763676</v>
          </cell>
          <cell r="EQ165" t="str">
            <v>Exploração e/ou Refino</v>
          </cell>
        </row>
        <row r="166">
          <cell r="A166" t="str">
            <v>SLC AGRICOLA</v>
          </cell>
          <cell r="C166" t="str">
            <v>NM</v>
          </cell>
          <cell r="F166" t="str">
            <v>FOLLOW-ON</v>
          </cell>
          <cell r="G166" t="str">
            <v>ICVM 400</v>
          </cell>
          <cell r="J166">
            <v>39626</v>
          </cell>
          <cell r="M166" t="str">
            <v>Credit Suisse</v>
          </cell>
          <cell r="W166">
            <v>27.5</v>
          </cell>
          <cell r="X166">
            <v>39624</v>
          </cell>
          <cell r="AO166">
            <v>258431250</v>
          </cell>
          <cell r="AP166">
            <v>110756222.5</v>
          </cell>
          <cell r="AQ166">
            <v>369187472.5</v>
          </cell>
          <cell r="BL166">
            <v>2860</v>
          </cell>
          <cell r="DZ166">
            <v>3076</v>
          </cell>
          <cell r="ED166">
            <v>229308989.13043478</v>
          </cell>
          <cell r="EF166">
            <v>8.4590918777722068E-2</v>
          </cell>
          <cell r="EH166">
            <v>0.11771352832130565</v>
          </cell>
          <cell r="EJ166">
            <v>0.78270396891649674</v>
          </cell>
          <cell r="EL166">
            <v>1.499158398447553E-2</v>
          </cell>
          <cell r="EQ166" t="str">
            <v>Agricultura</v>
          </cell>
        </row>
        <row r="167">
          <cell r="A167" t="str">
            <v>VALE R DOCE</v>
          </cell>
          <cell r="C167" t="str">
            <v>N1</v>
          </cell>
          <cell r="F167" t="str">
            <v>FOLLOW-ON</v>
          </cell>
          <cell r="G167" t="str">
            <v>ICVM 400</v>
          </cell>
          <cell r="J167">
            <v>39647</v>
          </cell>
          <cell r="M167" t="str">
            <v>Credit Suisse</v>
          </cell>
          <cell r="W167">
            <v>43.575402645544614</v>
          </cell>
          <cell r="X167">
            <v>39645</v>
          </cell>
          <cell r="AO167">
            <v>19434193128.68</v>
          </cell>
          <cell r="AP167">
            <v>0</v>
          </cell>
          <cell r="AQ167">
            <v>19434193128.68</v>
          </cell>
          <cell r="BL167">
            <v>29608</v>
          </cell>
          <cell r="DZ167">
            <v>32392</v>
          </cell>
          <cell r="ED167">
            <v>12222762974.012579</v>
          </cell>
          <cell r="EF167">
            <v>4.5506017462490819E-2</v>
          </cell>
          <cell r="EH167">
            <v>0.14192265358138625</v>
          </cell>
          <cell r="EJ167">
            <v>0.39360010380860933</v>
          </cell>
          <cell r="EL167">
            <v>0.41897122514751362</v>
          </cell>
          <cell r="EQ167" t="str">
            <v>Minerais Metálicos</v>
          </cell>
        </row>
        <row r="168">
          <cell r="A168" t="str">
            <v>REDECARD</v>
          </cell>
          <cell r="C168" t="str">
            <v>NM</v>
          </cell>
          <cell r="F168" t="str">
            <v>FOLLOW-ON</v>
          </cell>
          <cell r="G168" t="str">
            <v>ICVM 400</v>
          </cell>
          <cell r="J168">
            <v>39898</v>
          </cell>
          <cell r="M168" t="str">
            <v>Citi</v>
          </cell>
          <cell r="W168">
            <v>24.5</v>
          </cell>
          <cell r="X168">
            <v>39896</v>
          </cell>
          <cell r="AO168">
            <v>0</v>
          </cell>
          <cell r="AP168">
            <v>2212895370</v>
          </cell>
          <cell r="AQ168">
            <v>2212895370</v>
          </cell>
          <cell r="BL168">
            <v>2604</v>
          </cell>
          <cell r="DZ168">
            <v>3435</v>
          </cell>
          <cell r="ED168">
            <v>989003517.31843579</v>
          </cell>
          <cell r="EF168">
            <v>4.2549046049113477E-2</v>
          </cell>
          <cell r="EH168">
            <v>8.1236895533836284E-2</v>
          </cell>
          <cell r="EJ168">
            <v>0.87399881269578505</v>
          </cell>
          <cell r="EL168">
            <v>2.2152457212651676E-3</v>
          </cell>
          <cell r="EQ168" t="str">
            <v>Serviços Financeiros Diversos</v>
          </cell>
        </row>
        <row r="169">
          <cell r="A169" t="str">
            <v>MRV</v>
          </cell>
          <cell r="C169" t="str">
            <v>NM</v>
          </cell>
          <cell r="F169" t="str">
            <v>FOLLOW-ON</v>
          </cell>
          <cell r="G169" t="str">
            <v>ICVM 400</v>
          </cell>
          <cell r="J169">
            <v>39989</v>
          </cell>
          <cell r="M169" t="str">
            <v>UBS</v>
          </cell>
          <cell r="W169">
            <v>24.5</v>
          </cell>
          <cell r="X169">
            <v>39987</v>
          </cell>
          <cell r="AO169">
            <v>595350000</v>
          </cell>
          <cell r="AP169">
            <v>126787500</v>
          </cell>
          <cell r="AQ169">
            <v>722137500</v>
          </cell>
          <cell r="BL169">
            <v>1310</v>
          </cell>
          <cell r="DZ169">
            <v>1880</v>
          </cell>
          <cell r="ED169">
            <v>366567258.88324875</v>
          </cell>
          <cell r="EF169">
            <v>6.569669211195929E-2</v>
          </cell>
          <cell r="EH169">
            <v>0.2333591518235793</v>
          </cell>
          <cell r="EJ169">
            <v>0.70026388464800682</v>
          </cell>
          <cell r="EL169">
            <v>6.8027141645462261E-4</v>
          </cell>
          <cell r="EQ169" t="str">
            <v>Construção Civil</v>
          </cell>
        </row>
        <row r="170">
          <cell r="A170" t="str">
            <v>VISANET</v>
          </cell>
          <cell r="C170" t="str">
            <v>NM</v>
          </cell>
          <cell r="F170" t="str">
            <v>IPO</v>
          </cell>
          <cell r="G170" t="str">
            <v>ICVM 400</v>
          </cell>
          <cell r="J170">
            <v>39993</v>
          </cell>
          <cell r="M170" t="str">
            <v>Bradesco BBI</v>
          </cell>
          <cell r="W170">
            <v>15</v>
          </cell>
          <cell r="X170">
            <v>39989</v>
          </cell>
          <cell r="AO170">
            <v>0</v>
          </cell>
          <cell r="AP170">
            <v>8397208920</v>
          </cell>
          <cell r="AQ170">
            <v>8397208920</v>
          </cell>
          <cell r="BL170">
            <v>49037</v>
          </cell>
          <cell r="DZ170">
            <v>52943</v>
          </cell>
          <cell r="ED170">
            <v>4309133740.4423456</v>
          </cell>
          <cell r="EF170">
            <v>8.0373646937916127E-2</v>
          </cell>
          <cell r="EH170">
            <v>0.14649857193263688</v>
          </cell>
          <cell r="EJ170">
            <v>0.56537766241500154</v>
          </cell>
          <cell r="EL170">
            <v>0.20775011871444543</v>
          </cell>
          <cell r="EQ170" t="str">
            <v>Serviços Financeiros Diversos</v>
          </cell>
        </row>
        <row r="171">
          <cell r="A171" t="str">
            <v>BR MALLS PAR</v>
          </cell>
          <cell r="C171" t="str">
            <v>NM</v>
          </cell>
          <cell r="F171" t="str">
            <v>FOLLOW-ON</v>
          </cell>
          <cell r="G171" t="str">
            <v>ICVM 400</v>
          </cell>
          <cell r="J171">
            <v>39997</v>
          </cell>
          <cell r="M171" t="str">
            <v>Itaú BBA</v>
          </cell>
          <cell r="W171">
            <v>15</v>
          </cell>
          <cell r="X171">
            <v>39995</v>
          </cell>
          <cell r="AO171">
            <v>454270140</v>
          </cell>
          <cell r="AP171">
            <v>381586905</v>
          </cell>
          <cell r="AQ171">
            <v>835857045</v>
          </cell>
          <cell r="BL171">
            <v>2716</v>
          </cell>
          <cell r="DZ171">
            <v>3397</v>
          </cell>
          <cell r="ED171">
            <v>429216927.69846976</v>
          </cell>
          <cell r="EF171">
            <v>8.4659440777938286E-2</v>
          </cell>
          <cell r="EH171">
            <v>0.12190266339144154</v>
          </cell>
          <cell r="EJ171">
            <v>0.78959991298512056</v>
          </cell>
          <cell r="EL171">
            <v>3.8379828454996154E-3</v>
          </cell>
          <cell r="EQ171" t="str">
            <v>Exploração de Imóveis</v>
          </cell>
        </row>
        <row r="172">
          <cell r="A172" t="str">
            <v>LIGHT S/A</v>
          </cell>
          <cell r="C172" t="str">
            <v>NM</v>
          </cell>
          <cell r="F172" t="str">
            <v>FOLLOW-ON</v>
          </cell>
          <cell r="G172" t="str">
            <v>ICVM 400</v>
          </cell>
          <cell r="J172">
            <v>40009</v>
          </cell>
          <cell r="M172" t="str">
            <v>Itaú BBA</v>
          </cell>
          <cell r="W172">
            <v>24</v>
          </cell>
          <cell r="X172">
            <v>40007</v>
          </cell>
          <cell r="AO172">
            <v>0</v>
          </cell>
          <cell r="AP172">
            <v>772091520</v>
          </cell>
          <cell r="AQ172">
            <v>772091520</v>
          </cell>
          <cell r="BL172">
            <v>4294</v>
          </cell>
          <cell r="DZ172">
            <v>4871</v>
          </cell>
          <cell r="ED172">
            <v>391845066.99147385</v>
          </cell>
          <cell r="EF172">
            <v>0.18109801283661295</v>
          </cell>
          <cell r="EH172">
            <v>0.34028286180374057</v>
          </cell>
          <cell r="EJ172">
            <v>0.47355159139683339</v>
          </cell>
          <cell r="EL172">
            <v>5.067533962813113E-3</v>
          </cell>
          <cell r="EQ172" t="str">
            <v>Energia Elétrica</v>
          </cell>
        </row>
        <row r="173">
          <cell r="A173" t="str">
            <v>HYPERMARCAS</v>
          </cell>
          <cell r="C173" t="str">
            <v>NM</v>
          </cell>
          <cell r="F173" t="str">
            <v>FOLLOW-ON</v>
          </cell>
          <cell r="G173" t="str">
            <v>ICVM 400</v>
          </cell>
          <cell r="J173">
            <v>40010</v>
          </cell>
          <cell r="M173" t="str">
            <v>Citi</v>
          </cell>
          <cell r="W173">
            <v>23</v>
          </cell>
          <cell r="X173">
            <v>40008</v>
          </cell>
          <cell r="AO173">
            <v>563500000</v>
          </cell>
          <cell r="AP173">
            <v>230000000</v>
          </cell>
          <cell r="AQ173">
            <v>793500000</v>
          </cell>
          <cell r="BL173">
            <v>3899</v>
          </cell>
          <cell r="DZ173">
            <v>4442</v>
          </cell>
          <cell r="ED173">
            <v>408599382.0803296</v>
          </cell>
          <cell r="EF173">
            <v>9.0727797101449278E-2</v>
          </cell>
          <cell r="EH173">
            <v>0.10778799999999999</v>
          </cell>
          <cell r="EJ173">
            <v>0.79804681159420288</v>
          </cell>
          <cell r="EL173">
            <v>3.4373913043478262E-3</v>
          </cell>
          <cell r="EQ173" t="str">
            <v>Produtos Diversos</v>
          </cell>
        </row>
        <row r="174">
          <cell r="A174" t="str">
            <v>BRF FOODS</v>
          </cell>
          <cell r="C174" t="str">
            <v>NM</v>
          </cell>
          <cell r="F174" t="str">
            <v>FOLLOW-ON</v>
          </cell>
          <cell r="G174" t="str">
            <v>ICVM 400</v>
          </cell>
          <cell r="J174">
            <v>40017</v>
          </cell>
          <cell r="M174" t="str">
            <v>UBS</v>
          </cell>
          <cell r="W174">
            <v>40</v>
          </cell>
          <cell r="X174">
            <v>40015</v>
          </cell>
          <cell r="AO174">
            <v>5290000000</v>
          </cell>
          <cell r="AP174">
            <v>0</v>
          </cell>
          <cell r="AQ174">
            <v>5290000000</v>
          </cell>
          <cell r="BL174">
            <v>13211</v>
          </cell>
          <cell r="DZ174">
            <v>14783</v>
          </cell>
          <cell r="ED174">
            <v>2779967418.1512427</v>
          </cell>
          <cell r="EF174">
            <v>5.7905534971644614E-2</v>
          </cell>
          <cell r="EH174">
            <v>0.21595600756143668</v>
          </cell>
          <cell r="EJ174">
            <v>0.31776966351606806</v>
          </cell>
          <cell r="EL174">
            <v>0.40836879395085068</v>
          </cell>
          <cell r="EQ174" t="str">
            <v>Carnes e Derivados</v>
          </cell>
        </row>
        <row r="175">
          <cell r="A175" t="str">
            <v>NATURA</v>
          </cell>
          <cell r="C175" t="str">
            <v>NM</v>
          </cell>
          <cell r="F175" t="str">
            <v>FOLLOW-ON</v>
          </cell>
          <cell r="G175" t="str">
            <v>ICVM 400</v>
          </cell>
          <cell r="J175">
            <v>40028</v>
          </cell>
          <cell r="M175" t="str">
            <v>Itaú BBA</v>
          </cell>
          <cell r="W175">
            <v>26.5</v>
          </cell>
          <cell r="X175">
            <v>40024</v>
          </cell>
          <cell r="AO175">
            <v>0</v>
          </cell>
          <cell r="AP175">
            <v>1505104891.5</v>
          </cell>
          <cell r="AQ175">
            <v>1505104891.5</v>
          </cell>
          <cell r="BL175">
            <v>6237</v>
          </cell>
          <cell r="DZ175">
            <v>6944</v>
          </cell>
          <cell r="ED175">
            <v>803751410.60557508</v>
          </cell>
          <cell r="EF175">
            <v>9.3128859849964815E-2</v>
          </cell>
          <cell r="EH175">
            <v>0.26150164664453884</v>
          </cell>
          <cell r="EJ175">
            <v>0.58644247785304604</v>
          </cell>
          <cell r="EL175">
            <v>5.8927015652450294E-2</v>
          </cell>
          <cell r="EQ175" t="str">
            <v>Produtos de Uso Pessoal</v>
          </cell>
        </row>
        <row r="176">
          <cell r="A176" t="str">
            <v>TIVIT</v>
          </cell>
          <cell r="C176" t="str">
            <v>NM</v>
          </cell>
          <cell r="F176" t="str">
            <v>IPO</v>
          </cell>
          <cell r="G176" t="str">
            <v>ICVM 400</v>
          </cell>
          <cell r="J176">
            <v>40084</v>
          </cell>
          <cell r="M176" t="str">
            <v>Credit Suisse</v>
          </cell>
          <cell r="W176">
            <v>15</v>
          </cell>
          <cell r="X176">
            <v>40080</v>
          </cell>
          <cell r="AO176">
            <v>0</v>
          </cell>
          <cell r="AP176">
            <v>574566690</v>
          </cell>
          <cell r="AQ176">
            <v>574566690</v>
          </cell>
          <cell r="BL176">
            <v>5774</v>
          </cell>
          <cell r="DZ176">
            <v>6191</v>
          </cell>
          <cell r="ED176">
            <v>320807755.4438861</v>
          </cell>
          <cell r="EF176">
            <v>8.8666426092174289E-2</v>
          </cell>
          <cell r="EH176">
            <v>5.7413247893671644E-2</v>
          </cell>
          <cell r="EJ176">
            <v>0.85200069411855295</v>
          </cell>
          <cell r="EL176">
            <v>1.9196318956010826E-3</v>
          </cell>
          <cell r="EQ176" t="str">
            <v>Programas e Serviços</v>
          </cell>
        </row>
        <row r="177">
          <cell r="A177" t="str">
            <v>MULTIPLAN</v>
          </cell>
          <cell r="C177" t="str">
            <v>N2</v>
          </cell>
          <cell r="F177" t="str">
            <v>FOLLOW-ON</v>
          </cell>
          <cell r="G177" t="str">
            <v>ICVM 400</v>
          </cell>
          <cell r="J177">
            <v>40084</v>
          </cell>
          <cell r="M177" t="str">
            <v>BTG Pactual</v>
          </cell>
          <cell r="W177">
            <v>26.5</v>
          </cell>
          <cell r="X177">
            <v>40080</v>
          </cell>
          <cell r="AO177">
            <v>792350000</v>
          </cell>
          <cell r="AP177">
            <v>0</v>
          </cell>
          <cell r="AQ177">
            <v>792350000</v>
          </cell>
          <cell r="BL177">
            <v>5318</v>
          </cell>
          <cell r="DZ177">
            <v>6050</v>
          </cell>
          <cell r="ED177">
            <v>442406476.82858741</v>
          </cell>
          <cell r="EF177">
            <v>8.1040769230769236E-2</v>
          </cell>
          <cell r="EH177">
            <v>0.14349234113712375</v>
          </cell>
          <cell r="EJ177">
            <v>0.73854304347826083</v>
          </cell>
          <cell r="EL177">
            <v>3.6923846153846154E-2</v>
          </cell>
          <cell r="EQ177" t="str">
            <v>Exploração de Imóveis</v>
          </cell>
        </row>
        <row r="178">
          <cell r="A178" t="str">
            <v>ROSSI RESID</v>
          </cell>
          <cell r="C178" t="str">
            <v>NM</v>
          </cell>
          <cell r="F178" t="str">
            <v>FOLLOW-ON</v>
          </cell>
          <cell r="G178" t="str">
            <v>ICVM 400</v>
          </cell>
          <cell r="J178">
            <v>40091</v>
          </cell>
          <cell r="M178" t="str">
            <v>Credit Suisse</v>
          </cell>
          <cell r="W178">
            <v>12.5</v>
          </cell>
          <cell r="X178">
            <v>40087</v>
          </cell>
          <cell r="AO178">
            <v>928125000</v>
          </cell>
          <cell r="AP178">
            <v>0</v>
          </cell>
          <cell r="AQ178">
            <v>928125000</v>
          </cell>
          <cell r="BL178">
            <v>4342</v>
          </cell>
          <cell r="DZ178">
            <v>4825</v>
          </cell>
          <cell r="ED178">
            <v>525165506.70514339</v>
          </cell>
          <cell r="EF178">
            <v>7.7342949494949492E-2</v>
          </cell>
          <cell r="EH178">
            <v>0.19340188552188553</v>
          </cell>
          <cell r="EJ178">
            <v>0.72537593265993261</v>
          </cell>
          <cell r="EL178">
            <v>3.8792323232323231E-3</v>
          </cell>
          <cell r="EQ178" t="str">
            <v>Construção Civil</v>
          </cell>
        </row>
        <row r="179">
          <cell r="A179" t="str">
            <v>PDG REALT</v>
          </cell>
          <cell r="C179" t="str">
            <v>NM</v>
          </cell>
          <cell r="F179" t="str">
            <v>FOLLOW-ON</v>
          </cell>
          <cell r="G179" t="str">
            <v>ICVM 400</v>
          </cell>
          <cell r="J179">
            <v>40091</v>
          </cell>
          <cell r="M179" t="str">
            <v>BTG Pactual</v>
          </cell>
          <cell r="W179">
            <v>14</v>
          </cell>
          <cell r="X179">
            <v>40087</v>
          </cell>
          <cell r="AO179">
            <v>784000000</v>
          </cell>
          <cell r="AP179">
            <v>274400000</v>
          </cell>
          <cell r="AQ179">
            <v>1058400000</v>
          </cell>
          <cell r="BL179">
            <v>2521</v>
          </cell>
          <cell r="DZ179">
            <v>3287</v>
          </cell>
          <cell r="ED179">
            <v>598879646.919029</v>
          </cell>
          <cell r="EF179">
            <v>7.6583769841269841E-2</v>
          </cell>
          <cell r="EH179">
            <v>0.18932887566137566</v>
          </cell>
          <cell r="EJ179">
            <v>0.73094513227513225</v>
          </cell>
          <cell r="EL179">
            <v>3.142222222222222E-3</v>
          </cell>
          <cell r="EQ179" t="str">
            <v>Construção Civil</v>
          </cell>
        </row>
        <row r="180">
          <cell r="A180" t="str">
            <v>SANTANDER BR ¹</v>
          </cell>
          <cell r="C180" t="str">
            <v>N2</v>
          </cell>
          <cell r="F180" t="str">
            <v>IPO</v>
          </cell>
          <cell r="G180" t="str">
            <v>ICVM 400</v>
          </cell>
          <cell r="J180">
            <v>40093</v>
          </cell>
          <cell r="M180" t="str">
            <v>Santander</v>
          </cell>
          <cell r="W180">
            <v>23.5</v>
          </cell>
          <cell r="X180">
            <v>40092</v>
          </cell>
          <cell r="AO180">
            <v>13182457728</v>
          </cell>
          <cell r="AP180">
            <v>0</v>
          </cell>
          <cell r="AQ180">
            <v>13182457728</v>
          </cell>
          <cell r="BL180">
            <v>74132</v>
          </cell>
          <cell r="DZ180">
            <v>101673</v>
          </cell>
          <cell r="ED180">
            <v>7492161254.9019604</v>
          </cell>
          <cell r="EF180">
            <v>8.2591282070867938E-2</v>
          </cell>
          <cell r="EH180">
            <v>0.10176439014619766</v>
          </cell>
          <cell r="EJ180">
            <v>0.80160575274900281</v>
          </cell>
          <cell r="EL180">
            <v>1.4038575033931572E-2</v>
          </cell>
          <cell r="EQ180" t="str">
            <v>Bancos</v>
          </cell>
        </row>
        <row r="181">
          <cell r="A181" t="str">
            <v>GOL ¹</v>
          </cell>
          <cell r="C181" t="str">
            <v>N2</v>
          </cell>
          <cell r="F181" t="str">
            <v>FOLLOW-ON</v>
          </cell>
          <cell r="G181" t="str">
            <v>ICVM 400</v>
          </cell>
          <cell r="J181">
            <v>40099</v>
          </cell>
          <cell r="M181" t="str">
            <v>Itaú BBA</v>
          </cell>
          <cell r="W181">
            <v>16.5</v>
          </cell>
          <cell r="X181">
            <v>40094</v>
          </cell>
          <cell r="AO181">
            <v>627082500</v>
          </cell>
          <cell r="AP181">
            <v>399052500</v>
          </cell>
          <cell r="AQ181">
            <v>1026135000</v>
          </cell>
          <cell r="BL181">
            <v>3588</v>
          </cell>
          <cell r="DZ181">
            <v>3986</v>
          </cell>
          <cell r="ED181">
            <v>590105814.02035773</v>
          </cell>
          <cell r="EF181">
            <v>4.6804614889853671E-2</v>
          </cell>
          <cell r="EH181">
            <v>0.4490476443158064</v>
          </cell>
          <cell r="EJ181">
            <v>0.48562198102588838</v>
          </cell>
          <cell r="EL181">
            <v>1.852575976845152E-2</v>
          </cell>
          <cell r="EQ181" t="str">
            <v>Transporte Aéreo</v>
          </cell>
        </row>
        <row r="182">
          <cell r="A182" t="str">
            <v>BROOKFIELD</v>
          </cell>
          <cell r="C182" t="str">
            <v>NM</v>
          </cell>
          <cell r="F182" t="str">
            <v>FOLLOW-ON</v>
          </cell>
          <cell r="G182" t="str">
            <v>ICVM 400</v>
          </cell>
          <cell r="J182">
            <v>40108</v>
          </cell>
          <cell r="M182" t="str">
            <v>Itaú BBA</v>
          </cell>
          <cell r="W182">
            <v>6.8</v>
          </cell>
          <cell r="X182">
            <v>40106</v>
          </cell>
          <cell r="AO182">
            <v>562700000</v>
          </cell>
          <cell r="AP182">
            <v>102000000</v>
          </cell>
          <cell r="AQ182">
            <v>664700000</v>
          </cell>
          <cell r="BL182">
            <v>5833</v>
          </cell>
          <cell r="DZ182">
            <v>6519</v>
          </cell>
          <cell r="ED182">
            <v>381135321.10091746</v>
          </cell>
          <cell r="EF182">
            <v>9.4576460358056252E-2</v>
          </cell>
          <cell r="EH182">
            <v>0.42314158567774934</v>
          </cell>
          <cell r="EJ182">
            <v>0.43230368286445015</v>
          </cell>
          <cell r="EL182">
            <v>4.9978271099744245E-2</v>
          </cell>
          <cell r="EQ182" t="str">
            <v>Construção Civil</v>
          </cell>
        </row>
        <row r="183">
          <cell r="A183" t="str">
            <v>CCR RODOVIAS</v>
          </cell>
          <cell r="C183" t="str">
            <v>NM</v>
          </cell>
          <cell r="F183" t="str">
            <v>FOLLOW-ON</v>
          </cell>
          <cell r="G183" t="str">
            <v>ICVM 400</v>
          </cell>
          <cell r="J183">
            <v>40109</v>
          </cell>
          <cell r="M183" t="str">
            <v>Itaú BBA</v>
          </cell>
          <cell r="W183">
            <v>33</v>
          </cell>
          <cell r="X183">
            <v>40107</v>
          </cell>
          <cell r="AO183">
            <v>1263735000</v>
          </cell>
          <cell r="AP183">
            <v>0</v>
          </cell>
          <cell r="AQ183">
            <v>1263735000</v>
          </cell>
          <cell r="BL183">
            <v>4930</v>
          </cell>
          <cell r="DZ183">
            <v>5612</v>
          </cell>
          <cell r="ED183">
            <v>738464909.71775842</v>
          </cell>
          <cell r="EF183">
            <v>8.9528998563781173E-2</v>
          </cell>
          <cell r="EH183">
            <v>0.21670056143099622</v>
          </cell>
          <cell r="EJ183">
            <v>0.68990964877921401</v>
          </cell>
          <cell r="EL183">
            <v>3.8607912260086173E-3</v>
          </cell>
          <cell r="EQ183" t="str">
            <v>Exploração de Rodovias</v>
          </cell>
        </row>
        <row r="184">
          <cell r="A184" t="str">
            <v>IGUATEMI</v>
          </cell>
          <cell r="C184" t="str">
            <v>NM</v>
          </cell>
          <cell r="F184" t="str">
            <v>FOLLOW-ON</v>
          </cell>
          <cell r="G184" t="str">
            <v>ICVM 400</v>
          </cell>
          <cell r="J184">
            <v>40112</v>
          </cell>
          <cell r="M184" t="str">
            <v>Itaú BBA</v>
          </cell>
          <cell r="W184">
            <v>28.5</v>
          </cell>
          <cell r="X184">
            <v>40108</v>
          </cell>
          <cell r="AO184">
            <v>410400000</v>
          </cell>
          <cell r="AP184">
            <v>0</v>
          </cell>
          <cell r="AQ184">
            <v>410400000</v>
          </cell>
          <cell r="BL184">
            <v>3563</v>
          </cell>
          <cell r="DZ184">
            <v>3847</v>
          </cell>
          <cell r="ED184">
            <v>239202657.80730897</v>
          </cell>
          <cell r="EF184">
            <v>8.8686061381074169E-2</v>
          </cell>
          <cell r="EH184">
            <v>0.32909897698209717</v>
          </cell>
          <cell r="EJ184">
            <v>0.57758900255754475</v>
          </cell>
          <cell r="EL184">
            <v>4.6259590792838874E-3</v>
          </cell>
          <cell r="EQ184" t="str">
            <v>Exploração de Imóveis</v>
          </cell>
        </row>
        <row r="185">
          <cell r="A185" t="str">
            <v>CETIP</v>
          </cell>
          <cell r="C185" t="str">
            <v>NM</v>
          </cell>
          <cell r="F185" t="str">
            <v>IPO</v>
          </cell>
          <cell r="G185" t="str">
            <v>ICVM 400</v>
          </cell>
          <cell r="J185">
            <v>40114</v>
          </cell>
          <cell r="M185" t="str">
            <v>Itaú BBA</v>
          </cell>
          <cell r="W185">
            <v>13</v>
          </cell>
          <cell r="X185">
            <v>40112</v>
          </cell>
          <cell r="AO185">
            <v>0</v>
          </cell>
          <cell r="AP185">
            <v>772991934</v>
          </cell>
          <cell r="AQ185">
            <v>772991934</v>
          </cell>
          <cell r="BL185">
            <v>5058</v>
          </cell>
          <cell r="DZ185">
            <v>5437</v>
          </cell>
          <cell r="ED185">
            <v>443051489.65438187</v>
          </cell>
          <cell r="EF185">
            <v>9.8154683964816275E-2</v>
          </cell>
          <cell r="EH185">
            <v>5.2802500182675204E-2</v>
          </cell>
          <cell r="EJ185">
            <v>0.84489174491856878</v>
          </cell>
          <cell r="EL185">
            <v>4.1510709339397786E-3</v>
          </cell>
          <cell r="EQ185" t="str">
            <v>Serviços Financeiros Diversos</v>
          </cell>
        </row>
        <row r="186">
          <cell r="A186" t="str">
            <v>CYRELA REALT</v>
          </cell>
          <cell r="C186" t="str">
            <v>NM</v>
          </cell>
          <cell r="F186" t="str">
            <v>FOLLOW-ON</v>
          </cell>
          <cell r="G186" t="str">
            <v>ICVM 400</v>
          </cell>
          <cell r="J186">
            <v>40115</v>
          </cell>
          <cell r="M186" t="str">
            <v>Credit Suisse</v>
          </cell>
          <cell r="W186">
            <v>22</v>
          </cell>
          <cell r="X186">
            <v>40113</v>
          </cell>
          <cell r="AO186">
            <v>1182500000</v>
          </cell>
          <cell r="AP186">
            <v>0</v>
          </cell>
          <cell r="AQ186">
            <v>1182500000</v>
          </cell>
          <cell r="BL186">
            <v>5170</v>
          </cell>
          <cell r="DZ186">
            <v>5766</v>
          </cell>
          <cell r="ED186">
            <v>678194540.03211749</v>
          </cell>
          <cell r="EF186">
            <v>7.9324986046511628E-2</v>
          </cell>
          <cell r="EH186">
            <v>2.4330139534883721E-2</v>
          </cell>
          <cell r="EJ186">
            <v>0.72471419534883719</v>
          </cell>
          <cell r="EL186">
            <v>0.17163067906976745</v>
          </cell>
          <cell r="EQ186" t="str">
            <v>Construção Civil</v>
          </cell>
        </row>
        <row r="187">
          <cell r="A187" t="str">
            <v>MARFRIG</v>
          </cell>
          <cell r="C187" t="str">
            <v>NM</v>
          </cell>
          <cell r="F187" t="str">
            <v>FOLLOW-ON</v>
          </cell>
          <cell r="G187" t="str">
            <v>ICVM 400</v>
          </cell>
          <cell r="J187">
            <v>40129</v>
          </cell>
          <cell r="M187" t="str">
            <v>Bradesco BBI</v>
          </cell>
          <cell r="W187">
            <v>19</v>
          </cell>
          <cell r="X187">
            <v>40128</v>
          </cell>
          <cell r="AO187">
            <v>1501760000</v>
          </cell>
          <cell r="AP187">
            <v>0</v>
          </cell>
          <cell r="AQ187">
            <v>1501760000</v>
          </cell>
          <cell r="BL187">
            <v>5</v>
          </cell>
          <cell r="DZ187">
            <v>2644</v>
          </cell>
          <cell r="ED187">
            <v>870585507.24637675</v>
          </cell>
          <cell r="EF187">
            <v>1.4612790991902835E-2</v>
          </cell>
          <cell r="EH187">
            <v>0.26609741902834005</v>
          </cell>
          <cell r="EJ187">
            <v>0.4783132464574899</v>
          </cell>
          <cell r="EL187">
            <v>0.24097654352226722</v>
          </cell>
          <cell r="EQ187" t="str">
            <v>Carnes e Derivados</v>
          </cell>
        </row>
        <row r="188">
          <cell r="A188" t="str">
            <v>DIRECIONAL</v>
          </cell>
          <cell r="C188" t="str">
            <v>NM</v>
          </cell>
          <cell r="F188" t="str">
            <v>IPO</v>
          </cell>
          <cell r="G188" t="str">
            <v>ICVM 400</v>
          </cell>
          <cell r="J188">
            <v>40136</v>
          </cell>
          <cell r="M188" t="str">
            <v>Santander</v>
          </cell>
          <cell r="W188">
            <v>10.5</v>
          </cell>
          <cell r="X188">
            <v>40134</v>
          </cell>
          <cell r="AO188">
            <v>273999999</v>
          </cell>
          <cell r="AP188">
            <v>0</v>
          </cell>
          <cell r="AQ188">
            <v>273999999</v>
          </cell>
          <cell r="BL188">
            <v>588</v>
          </cell>
          <cell r="DZ188">
            <v>661</v>
          </cell>
          <cell r="ED188">
            <v>158500606.8143692</v>
          </cell>
          <cell r="EF188">
            <v>7.4642009396503686E-2</v>
          </cell>
          <cell r="EH188">
            <v>7.1940903547229582E-2</v>
          </cell>
          <cell r="EJ188">
            <v>0.64310699139820071</v>
          </cell>
          <cell r="EL188">
            <v>0.21031009565806605</v>
          </cell>
          <cell r="EQ188" t="str">
            <v>Construção Civil</v>
          </cell>
        </row>
        <row r="189">
          <cell r="A189" t="str">
            <v>ENERGIAS BR</v>
          </cell>
          <cell r="C189" t="str">
            <v>NM</v>
          </cell>
          <cell r="F189" t="str">
            <v>FOLLOW-ON</v>
          </cell>
          <cell r="G189" t="str">
            <v>ICVM 400</v>
          </cell>
          <cell r="J189">
            <v>40143</v>
          </cell>
          <cell r="M189" t="str">
            <v>Bradesco BBI</v>
          </cell>
          <cell r="W189">
            <v>28.5</v>
          </cell>
          <cell r="X189">
            <v>40141</v>
          </cell>
          <cell r="AO189">
            <v>0</v>
          </cell>
          <cell r="AP189">
            <v>441750000</v>
          </cell>
          <cell r="AQ189">
            <v>441750000</v>
          </cell>
          <cell r="BL189">
            <v>1109</v>
          </cell>
          <cell r="DZ189">
            <v>1551</v>
          </cell>
          <cell r="ED189">
            <v>253748061.34757885</v>
          </cell>
          <cell r="EF189">
            <v>9.2037225806451614E-2</v>
          </cell>
          <cell r="EH189">
            <v>0.32481458064516128</v>
          </cell>
          <cell r="EJ189">
            <v>0.58067290322580645</v>
          </cell>
          <cell r="EL189">
            <v>2.4752903225806451E-3</v>
          </cell>
          <cell r="EQ189" t="str">
            <v>Energia Elétrica</v>
          </cell>
        </row>
        <row r="190">
          <cell r="A190" t="str">
            <v>ANHANGUERA</v>
          </cell>
          <cell r="C190" t="str">
            <v>N2</v>
          </cell>
          <cell r="F190" t="str">
            <v>FOLLOW-ON</v>
          </cell>
          <cell r="G190" t="str">
            <v>ICVM 400</v>
          </cell>
          <cell r="J190">
            <v>40157</v>
          </cell>
          <cell r="M190" t="str">
            <v>Itaú BBA</v>
          </cell>
          <cell r="W190">
            <v>22.5</v>
          </cell>
          <cell r="X190">
            <v>40155</v>
          </cell>
          <cell r="AO190">
            <v>0</v>
          </cell>
          <cell r="AP190">
            <v>750375000</v>
          </cell>
          <cell r="AQ190">
            <v>750375000</v>
          </cell>
          <cell r="BL190">
            <v>1487</v>
          </cell>
          <cell r="DZ190">
            <v>1924</v>
          </cell>
          <cell r="ED190">
            <v>425696374.87944633</v>
          </cell>
          <cell r="EF190">
            <v>8.5570854572713642E-2</v>
          </cell>
          <cell r="EH190">
            <v>0.12138284857571215</v>
          </cell>
          <cell r="EJ190">
            <v>0.79038140929535228</v>
          </cell>
          <cell r="EL190">
            <v>2.6648875562218892E-3</v>
          </cell>
          <cell r="EQ190" t="str">
            <v>Serviços Educacionais</v>
          </cell>
        </row>
        <row r="191">
          <cell r="A191" t="str">
            <v>FLEURY</v>
          </cell>
          <cell r="C191" t="str">
            <v>NM</v>
          </cell>
          <cell r="F191" t="str">
            <v>IPO</v>
          </cell>
          <cell r="G191" t="str">
            <v>ICVM 400</v>
          </cell>
          <cell r="J191">
            <v>40164</v>
          </cell>
          <cell r="M191" t="str">
            <v>Bradesco BBI</v>
          </cell>
          <cell r="W191">
            <v>16</v>
          </cell>
          <cell r="X191">
            <v>40162</v>
          </cell>
          <cell r="AO191">
            <v>630233120</v>
          </cell>
          <cell r="AP191">
            <v>0</v>
          </cell>
          <cell r="AQ191">
            <v>630233120</v>
          </cell>
          <cell r="BL191">
            <v>4631</v>
          </cell>
          <cell r="DZ191">
            <v>5176</v>
          </cell>
          <cell r="ED191">
            <v>353606643.1016103</v>
          </cell>
          <cell r="EF191">
            <v>8.7598442938067109E-2</v>
          </cell>
          <cell r="EH191">
            <v>0.15645067971039034</v>
          </cell>
          <cell r="EJ191">
            <v>0.75337131123797496</v>
          </cell>
          <cell r="EL191">
            <v>2.5795661135676272E-3</v>
          </cell>
          <cell r="EQ191" t="str">
            <v>Serv. Méd. Hospit., Análises e Diagnósticos</v>
          </cell>
        </row>
        <row r="192">
          <cell r="A192" t="str">
            <v>ALIANSCE</v>
          </cell>
          <cell r="C192" t="str">
            <v>NM</v>
          </cell>
          <cell r="F192" t="str">
            <v>IPO</v>
          </cell>
          <cell r="G192" t="str">
            <v>ICVM 400</v>
          </cell>
          <cell r="J192">
            <v>40207</v>
          </cell>
          <cell r="M192" t="str">
            <v>BTG Pactual</v>
          </cell>
          <cell r="W192">
            <v>9</v>
          </cell>
          <cell r="X192">
            <v>40205</v>
          </cell>
          <cell r="AO192">
            <v>450000000</v>
          </cell>
          <cell r="AP192">
            <v>193500000</v>
          </cell>
          <cell r="AQ192">
            <v>643500000</v>
          </cell>
          <cell r="BL192">
            <v>1626</v>
          </cell>
          <cell r="DZ192">
            <v>1892</v>
          </cell>
          <cell r="ED192">
            <v>343236611.90526992</v>
          </cell>
          <cell r="EF192">
            <v>6.665237762237762E-2</v>
          </cell>
          <cell r="EH192">
            <v>0.20004700699300698</v>
          </cell>
          <cell r="EJ192">
            <v>0.73164967832167838</v>
          </cell>
          <cell r="EL192">
            <v>1.650937062937063E-3</v>
          </cell>
          <cell r="EQ192" t="str">
            <v xml:space="preserve">Exploração de Imóveis </v>
          </cell>
        </row>
        <row r="193">
          <cell r="A193" t="str">
            <v>INPAR S/A</v>
          </cell>
          <cell r="C193" t="str">
            <v>NM</v>
          </cell>
          <cell r="F193" t="str">
            <v>FOLLOW-ON</v>
          </cell>
          <cell r="G193" t="str">
            <v>ICVM 400</v>
          </cell>
          <cell r="J193">
            <v>40213</v>
          </cell>
          <cell r="M193" t="str">
            <v>Credit Suisse</v>
          </cell>
          <cell r="W193">
            <v>3.2</v>
          </cell>
          <cell r="X193">
            <v>40211</v>
          </cell>
          <cell r="AO193">
            <v>280000000</v>
          </cell>
          <cell r="AP193">
            <v>0</v>
          </cell>
          <cell r="AQ193">
            <v>280000000</v>
          </cell>
          <cell r="BL193">
            <v>1423</v>
          </cell>
          <cell r="DZ193">
            <v>1612</v>
          </cell>
          <cell r="ED193">
            <v>149612610.20571736</v>
          </cell>
          <cell r="EF193">
            <v>6.8151439999999994E-2</v>
          </cell>
          <cell r="EH193">
            <v>0.24533228571428572</v>
          </cell>
          <cell r="EJ193">
            <v>0.68484573714285712</v>
          </cell>
          <cell r="EL193">
            <v>1.6705371428571429E-3</v>
          </cell>
          <cell r="EQ193" t="str">
            <v xml:space="preserve">Construção Civil </v>
          </cell>
        </row>
        <row r="194">
          <cell r="A194" t="str">
            <v>MULTIPLUS</v>
          </cell>
          <cell r="C194" t="str">
            <v>NM</v>
          </cell>
          <cell r="F194" t="str">
            <v>IPO</v>
          </cell>
          <cell r="G194" t="str">
            <v>ICVM 400</v>
          </cell>
          <cell r="J194">
            <v>40214</v>
          </cell>
          <cell r="M194" t="str">
            <v>BTG Pactual</v>
          </cell>
          <cell r="W194">
            <v>16</v>
          </cell>
          <cell r="X194">
            <v>40212</v>
          </cell>
          <cell r="AO194">
            <v>692384000</v>
          </cell>
          <cell r="AP194">
            <v>0</v>
          </cell>
          <cell r="AQ194">
            <v>692384000</v>
          </cell>
          <cell r="BL194">
            <v>1167</v>
          </cell>
          <cell r="DZ194">
            <v>1388</v>
          </cell>
          <cell r="ED194">
            <v>369212392.68383723</v>
          </cell>
          <cell r="EF194">
            <v>4.1318204926745851E-2</v>
          </cell>
          <cell r="EH194">
            <v>2.7142626057216806E-3</v>
          </cell>
          <cell r="EJ194">
            <v>0.82120152978693906</v>
          </cell>
          <cell r="EL194">
            <v>0.13476600268059344</v>
          </cell>
          <cell r="EQ194" t="str">
            <v xml:space="preserve">Programas de Fidelização </v>
          </cell>
        </row>
        <row r="195">
          <cell r="A195" t="str">
            <v>PDG REALT</v>
          </cell>
          <cell r="C195" t="str">
            <v>NM</v>
          </cell>
          <cell r="F195" t="str">
            <v>FOLLOW-ON</v>
          </cell>
          <cell r="G195" t="str">
            <v>ICVM 400</v>
          </cell>
          <cell r="J195">
            <v>40217</v>
          </cell>
          <cell r="M195" t="str">
            <v>Credit Suisse</v>
          </cell>
          <cell r="W195">
            <v>14.5</v>
          </cell>
          <cell r="X195">
            <v>40213</v>
          </cell>
          <cell r="AO195">
            <v>0</v>
          </cell>
          <cell r="AP195">
            <v>1618891461.5</v>
          </cell>
          <cell r="AQ195">
            <v>1618891461.5</v>
          </cell>
          <cell r="BL195">
            <v>2802</v>
          </cell>
          <cell r="DZ195">
            <v>3491</v>
          </cell>
          <cell r="ED195">
            <v>864330732.24773097</v>
          </cell>
          <cell r="EF195">
            <v>9.7183052256156463E-2</v>
          </cell>
          <cell r="EH195">
            <v>0.43246845767615411</v>
          </cell>
          <cell r="EJ195">
            <v>0.46770936687653908</v>
          </cell>
          <cell r="EL195">
            <v>2.6391231911503908E-3</v>
          </cell>
          <cell r="EQ195" t="str">
            <v>Construção Civil</v>
          </cell>
        </row>
        <row r="196">
          <cell r="A196" t="str">
            <v>BR PROPERT</v>
          </cell>
          <cell r="C196" t="str">
            <v>NM</v>
          </cell>
          <cell r="F196" t="str">
            <v>IPO</v>
          </cell>
          <cell r="G196" t="str">
            <v>ICVM 400</v>
          </cell>
          <cell r="J196">
            <v>40245</v>
          </cell>
          <cell r="M196" t="str">
            <v>Itaú BBA</v>
          </cell>
          <cell r="W196">
            <v>13</v>
          </cell>
          <cell r="X196">
            <v>40241</v>
          </cell>
          <cell r="AO196">
            <v>747500000</v>
          </cell>
          <cell r="AP196">
            <v>186888000</v>
          </cell>
          <cell r="AQ196">
            <v>934388000</v>
          </cell>
          <cell r="BL196">
            <v>1451</v>
          </cell>
          <cell r="DZ196">
            <v>1831</v>
          </cell>
          <cell r="ED196">
            <v>524171434.98260969</v>
          </cell>
          <cell r="EF196">
            <v>4.2736845238634497E-2</v>
          </cell>
          <cell r="EH196">
            <v>0.28556674479432925</v>
          </cell>
          <cell r="EJ196">
            <v>0.6514811684723173</v>
          </cell>
          <cell r="EL196">
            <v>2.0215241494718941E-2</v>
          </cell>
          <cell r="EQ196" t="str">
            <v>Exploração de Imóveis</v>
          </cell>
        </row>
        <row r="197">
          <cell r="A197" t="str">
            <v xml:space="preserve">OSX BRASIL </v>
          </cell>
          <cell r="C197" t="str">
            <v>NM</v>
          </cell>
          <cell r="F197" t="str">
            <v>IPO</v>
          </cell>
          <cell r="G197" t="str">
            <v>ICVM 400</v>
          </cell>
          <cell r="J197">
            <v>40259</v>
          </cell>
          <cell r="M197" t="str">
            <v>Credit Suisse</v>
          </cell>
          <cell r="W197">
            <v>800</v>
          </cell>
          <cell r="X197">
            <v>40255</v>
          </cell>
          <cell r="AO197">
            <v>2450400000</v>
          </cell>
          <cell r="AP197">
            <v>0</v>
          </cell>
          <cell r="AQ197">
            <v>2450400000</v>
          </cell>
          <cell r="BL197">
            <v>30</v>
          </cell>
          <cell r="DZ197">
            <v>184</v>
          </cell>
          <cell r="ED197">
            <v>1359068219.6339436</v>
          </cell>
          <cell r="EF197">
            <v>1.1753183153770812E-2</v>
          </cell>
          <cell r="EH197">
            <v>1.8137943760734715E-2</v>
          </cell>
          <cell r="EJ197">
            <v>0.69346903433689622</v>
          </cell>
          <cell r="EL197">
            <v>0.27663983874859827</v>
          </cell>
          <cell r="EQ197" t="str">
            <v>Máquinas e Equipamentos</v>
          </cell>
        </row>
        <row r="198">
          <cell r="A198" t="str">
            <v>GAFISA ¹</v>
          </cell>
          <cell r="C198" t="str">
            <v>NM</v>
          </cell>
          <cell r="F198" t="str">
            <v>FOLLOW-ON</v>
          </cell>
          <cell r="G198" t="str">
            <v>ICVM 400</v>
          </cell>
          <cell r="J198">
            <v>40262</v>
          </cell>
          <cell r="M198" t="str">
            <v>Itaú BBA</v>
          </cell>
          <cell r="W198">
            <v>12.5</v>
          </cell>
          <cell r="X198">
            <v>40260</v>
          </cell>
          <cell r="AO198">
            <v>1063750000</v>
          </cell>
          <cell r="AP198">
            <v>0</v>
          </cell>
          <cell r="AQ198">
            <v>1063750000</v>
          </cell>
          <cell r="BL198">
            <v>2488</v>
          </cell>
          <cell r="DZ198">
            <v>2910</v>
          </cell>
          <cell r="ED198">
            <v>590709684.58462906</v>
          </cell>
          <cell r="EF198">
            <v>6.2444923619271446E-2</v>
          </cell>
          <cell r="EH198">
            <v>0.31804683901292596</v>
          </cell>
          <cell r="EJ198">
            <v>0.61794923619271447</v>
          </cell>
          <cell r="EL198">
            <v>1.5590011750881317E-3</v>
          </cell>
          <cell r="EQ198" t="str">
            <v>Construção Civil</v>
          </cell>
        </row>
        <row r="199">
          <cell r="A199" t="str">
            <v>ECORODOVIAS</v>
          </cell>
          <cell r="C199" t="str">
            <v>NM</v>
          </cell>
          <cell r="F199" t="str">
            <v>IPO</v>
          </cell>
          <cell r="G199" t="str">
            <v>ICVM 400</v>
          </cell>
          <cell r="J199">
            <v>40269</v>
          </cell>
          <cell r="M199" t="str">
            <v>Itaú BBA</v>
          </cell>
          <cell r="W199">
            <v>9.5</v>
          </cell>
          <cell r="X199">
            <v>40267</v>
          </cell>
          <cell r="AO199">
            <v>874000000</v>
          </cell>
          <cell r="AP199">
            <v>494028500</v>
          </cell>
          <cell r="AQ199">
            <v>1368028500</v>
          </cell>
          <cell r="BL199">
            <v>1982</v>
          </cell>
          <cell r="DZ199">
            <v>2647</v>
          </cell>
          <cell r="ED199">
            <v>772853793.57098472</v>
          </cell>
          <cell r="EF199">
            <v>4.7046790691860588E-2</v>
          </cell>
          <cell r="EH199">
            <v>0.29249494107761642</v>
          </cell>
          <cell r="EJ199">
            <v>0.51137191586286401</v>
          </cell>
          <cell r="EL199">
            <v>0.14908635236765902</v>
          </cell>
          <cell r="EQ199" t="str">
            <v>Exploração de Rodovias</v>
          </cell>
        </row>
        <row r="200">
          <cell r="A200" t="str">
            <v>HYPERMARCAS</v>
          </cell>
          <cell r="C200" t="str">
            <v>NM</v>
          </cell>
          <cell r="F200" t="str">
            <v>FOLLOW-ON</v>
          </cell>
          <cell r="G200" t="str">
            <v>ICVM 400</v>
          </cell>
          <cell r="J200">
            <v>40273</v>
          </cell>
          <cell r="M200" t="str">
            <v>Citi</v>
          </cell>
          <cell r="W200">
            <v>21</v>
          </cell>
          <cell r="X200">
            <v>40268</v>
          </cell>
          <cell r="AO200">
            <v>1232616000</v>
          </cell>
          <cell r="AP200">
            <v>0</v>
          </cell>
          <cell r="AQ200">
            <v>1232616000</v>
          </cell>
          <cell r="BL200">
            <v>2697</v>
          </cell>
          <cell r="DZ200">
            <v>3616</v>
          </cell>
          <cell r="ED200">
            <v>701426051.32874298</v>
          </cell>
          <cell r="EF200">
            <v>7.7514992503748131E-2</v>
          </cell>
          <cell r="EH200">
            <v>0.20446035504974786</v>
          </cell>
          <cell r="EJ200">
            <v>0.71584234019353954</v>
          </cell>
          <cell r="EL200">
            <v>2.1823122529644268E-3</v>
          </cell>
          <cell r="EQ200" t="str">
            <v>Produtos Diversos</v>
          </cell>
        </row>
        <row r="201">
          <cell r="A201" t="str">
            <v>MILLS</v>
          </cell>
          <cell r="C201" t="str">
            <v>NM</v>
          </cell>
          <cell r="F201" t="str">
            <v>IPO</v>
          </cell>
          <cell r="G201" t="str">
            <v>ICVM 400</v>
          </cell>
          <cell r="J201">
            <v>40284</v>
          </cell>
          <cell r="M201" t="str">
            <v>Itaú BBA</v>
          </cell>
          <cell r="W201">
            <v>11.5</v>
          </cell>
          <cell r="X201">
            <v>40282</v>
          </cell>
          <cell r="AO201">
            <v>425925925.5</v>
          </cell>
          <cell r="AP201">
            <v>259814808</v>
          </cell>
          <cell r="AQ201">
            <v>685740733.5</v>
          </cell>
          <cell r="BL201">
            <v>1086</v>
          </cell>
          <cell r="DZ201">
            <v>1358</v>
          </cell>
          <cell r="ED201">
            <v>390557428.80738127</v>
          </cell>
          <cell r="EF201">
            <v>3.2080729531287204E-2</v>
          </cell>
          <cell r="EH201">
            <v>0.15486718859176535</v>
          </cell>
          <cell r="EJ201">
            <v>0.77255307089031189</v>
          </cell>
          <cell r="EL201">
            <v>4.0499010986635518E-2</v>
          </cell>
          <cell r="EQ201" t="str">
            <v>Serviços Diversos</v>
          </cell>
        </row>
        <row r="202">
          <cell r="A202" t="str">
            <v>EVEN</v>
          </cell>
          <cell r="C202" t="str">
            <v>NM</v>
          </cell>
          <cell r="F202" t="str">
            <v>FOLLOW-ON</v>
          </cell>
          <cell r="G202" t="str">
            <v>ICVM 400</v>
          </cell>
          <cell r="J202">
            <v>40287</v>
          </cell>
          <cell r="M202" t="str">
            <v>Itaú BBA</v>
          </cell>
          <cell r="W202">
            <v>6</v>
          </cell>
          <cell r="X202">
            <v>40283</v>
          </cell>
          <cell r="AO202">
            <v>326000004</v>
          </cell>
          <cell r="AP202">
            <v>180000000</v>
          </cell>
          <cell r="AQ202">
            <v>506000004</v>
          </cell>
          <cell r="BL202">
            <v>2156</v>
          </cell>
          <cell r="DZ202">
            <v>2515</v>
          </cell>
          <cell r="ED202">
            <v>289192435.27461851</v>
          </cell>
          <cell r="EF202">
            <v>9.9583350991435962E-2</v>
          </cell>
          <cell r="EH202">
            <v>0.33255331752922279</v>
          </cell>
          <cell r="EJ202">
            <v>0.46544233624156256</v>
          </cell>
          <cell r="EL202">
            <v>0.1024209952377787</v>
          </cell>
          <cell r="EQ202" t="str">
            <v>Construção Civil</v>
          </cell>
        </row>
        <row r="203">
          <cell r="A203" t="str">
            <v>JULIO SIMOES</v>
          </cell>
          <cell r="C203" t="str">
            <v>NM</v>
          </cell>
          <cell r="F203" t="str">
            <v>IPO</v>
          </cell>
          <cell r="G203" t="str">
            <v>ICVM 400</v>
          </cell>
          <cell r="J203">
            <v>40290</v>
          </cell>
          <cell r="M203" t="str">
            <v>Bradesco BBI</v>
          </cell>
          <cell r="W203">
            <v>8</v>
          </cell>
          <cell r="X203">
            <v>40287</v>
          </cell>
          <cell r="AO203">
            <v>477902824</v>
          </cell>
          <cell r="AP203">
            <v>0</v>
          </cell>
          <cell r="AQ203">
            <v>477902824</v>
          </cell>
          <cell r="BL203">
            <v>726</v>
          </cell>
          <cell r="DZ203">
            <v>989</v>
          </cell>
          <cell r="ED203">
            <v>271135154.88482922</v>
          </cell>
          <cell r="EF203">
            <v>3.2331535244154344E-2</v>
          </cell>
          <cell r="EH203">
            <v>0.15242885372498341</v>
          </cell>
          <cell r="EJ203">
            <v>0.64773563340949902</v>
          </cell>
          <cell r="EL203">
            <v>0.16750397762136326</v>
          </cell>
          <cell r="EQ203" t="str">
            <v>Transporte Rodoviário</v>
          </cell>
        </row>
        <row r="204">
          <cell r="A204" t="str">
            <v>JBS</v>
          </cell>
          <cell r="C204" t="str">
            <v>NM</v>
          </cell>
          <cell r="F204" t="str">
            <v>FOLLOW-ON</v>
          </cell>
          <cell r="G204" t="str">
            <v>ICVM 400</v>
          </cell>
          <cell r="J204">
            <v>40297</v>
          </cell>
          <cell r="M204" t="str">
            <v>BTG Pactual</v>
          </cell>
          <cell r="W204">
            <v>8</v>
          </cell>
          <cell r="X204">
            <v>40295</v>
          </cell>
          <cell r="AO204">
            <v>1600000000</v>
          </cell>
          <cell r="AP204">
            <v>0</v>
          </cell>
          <cell r="AQ204">
            <v>1600000000</v>
          </cell>
          <cell r="BL204">
            <v>3378</v>
          </cell>
          <cell r="DZ204">
            <v>4070</v>
          </cell>
          <cell r="ED204">
            <v>923734195.48524916</v>
          </cell>
          <cell r="EF204">
            <v>8.9639201493206824E-2</v>
          </cell>
          <cell r="EH204">
            <v>0.56390888024805086</v>
          </cell>
          <cell r="EJ204">
            <v>0.33928502001080957</v>
          </cell>
          <cell r="EL204">
            <v>7.166898247932727E-3</v>
          </cell>
          <cell r="EQ204" t="str">
            <v>Carnes e Derivados</v>
          </cell>
        </row>
        <row r="205">
          <cell r="A205" t="str">
            <v>BRASIL</v>
          </cell>
          <cell r="C205" t="str">
            <v>NM</v>
          </cell>
          <cell r="F205" t="str">
            <v>FOLLOW-ON</v>
          </cell>
          <cell r="G205" t="str">
            <v>ICVM 400</v>
          </cell>
          <cell r="J205">
            <v>40361</v>
          </cell>
          <cell r="M205" t="str">
            <v>BB Investimentos</v>
          </cell>
          <cell r="W205">
            <v>24.65</v>
          </cell>
          <cell r="X205">
            <v>40359</v>
          </cell>
          <cell r="AO205">
            <v>7049900000</v>
          </cell>
          <cell r="AP205">
            <v>2711500000</v>
          </cell>
          <cell r="AQ205">
            <v>9761400000</v>
          </cell>
          <cell r="BL205">
            <v>103471</v>
          </cell>
          <cell r="DZ205">
            <v>113502</v>
          </cell>
          <cell r="ED205">
            <v>5488557773.4045544</v>
          </cell>
          <cell r="EF205">
            <v>0.15932670707070706</v>
          </cell>
          <cell r="EH205">
            <v>0.43090268686868688</v>
          </cell>
          <cell r="EJ205">
            <v>0.3896108611111111</v>
          </cell>
          <cell r="EL205">
            <v>2.0159744949494948E-2</v>
          </cell>
          <cell r="EQ205" t="str">
            <v>Bancos</v>
          </cell>
        </row>
        <row r="206">
          <cell r="A206" t="str">
            <v>RENOVA</v>
          </cell>
          <cell r="C206" t="str">
            <v>N2</v>
          </cell>
          <cell r="F206" t="str">
            <v>IPO</v>
          </cell>
          <cell r="G206" t="str">
            <v>ICVM 400</v>
          </cell>
          <cell r="J206">
            <v>40372</v>
          </cell>
          <cell r="M206" t="str">
            <v>Santander</v>
          </cell>
          <cell r="W206">
            <v>15</v>
          </cell>
          <cell r="X206">
            <v>40367</v>
          </cell>
          <cell r="AO206">
            <v>160707000</v>
          </cell>
          <cell r="AP206">
            <v>0</v>
          </cell>
          <cell r="AQ206">
            <v>160707000</v>
          </cell>
          <cell r="BL206">
            <v>579</v>
          </cell>
          <cell r="DZ206">
            <v>619</v>
          </cell>
          <cell r="ED206">
            <v>91701569.186875895</v>
          </cell>
          <cell r="EF206">
            <v>9.0320508230167268E-2</v>
          </cell>
          <cell r="EH206">
            <v>0</v>
          </cell>
          <cell r="EJ206">
            <v>1.6353938396981748E-2</v>
          </cell>
          <cell r="EL206">
            <v>0.89332555337285102</v>
          </cell>
          <cell r="EQ206" t="str">
            <v>Energia Elétrica</v>
          </cell>
        </row>
        <row r="207">
          <cell r="A207" t="str">
            <v>PETROBRAS</v>
          </cell>
          <cell r="C207" t="str">
            <v>BÁSICO</v>
          </cell>
          <cell r="F207" t="str">
            <v>FOLLOW-ON</v>
          </cell>
          <cell r="G207" t="str">
            <v>ICVM 400</v>
          </cell>
          <cell r="J207">
            <v>40448</v>
          </cell>
          <cell r="M207" t="str">
            <v>Bradesco BBI</v>
          </cell>
          <cell r="W207">
            <v>28.158484041426377</v>
          </cell>
          <cell r="X207">
            <v>40444</v>
          </cell>
          <cell r="AO207">
            <v>120248558770.3</v>
          </cell>
          <cell r="AP207">
            <v>0</v>
          </cell>
          <cell r="AQ207">
            <v>120248558770.3</v>
          </cell>
          <cell r="BL207">
            <v>104109</v>
          </cell>
          <cell r="DZ207">
            <v>112827</v>
          </cell>
          <cell r="ED207">
            <v>70320794602.514618</v>
          </cell>
          <cell r="EF207">
            <v>3.2863317602476953E-2</v>
          </cell>
          <cell r="EH207">
            <v>0.10250494062037488</v>
          </cell>
          <cell r="EJ207">
            <v>0.20213876330516317</v>
          </cell>
          <cell r="EL207">
            <v>0.66249297847198485</v>
          </cell>
          <cell r="EQ207" t="str">
            <v xml:space="preserve">Exploração e/ou Refino </v>
          </cell>
        </row>
        <row r="208">
          <cell r="A208" t="str">
            <v>ESTACIO PART</v>
          </cell>
          <cell r="C208" t="str">
            <v>NM</v>
          </cell>
          <cell r="F208" t="str">
            <v>FOLLOW-ON</v>
          </cell>
          <cell r="G208" t="str">
            <v>ICVM 400</v>
          </cell>
          <cell r="J208">
            <v>40455</v>
          </cell>
          <cell r="M208" t="str">
            <v>BTG Pactual</v>
          </cell>
          <cell r="W208">
            <v>19</v>
          </cell>
          <cell r="X208">
            <v>40451</v>
          </cell>
          <cell r="AO208">
            <v>62326156</v>
          </cell>
          <cell r="AP208">
            <v>623261560</v>
          </cell>
          <cell r="AQ208">
            <v>685587716</v>
          </cell>
          <cell r="BL208">
            <v>1173</v>
          </cell>
          <cell r="DZ208">
            <v>1701</v>
          </cell>
          <cell r="ED208">
            <v>406105743.39533234</v>
          </cell>
          <cell r="EF208">
            <v>8.9730049947394336E-2</v>
          </cell>
          <cell r="EH208">
            <v>0.20560347087665731</v>
          </cell>
          <cell r="EJ208">
            <v>0.70320609128300071</v>
          </cell>
          <cell r="EL208">
            <v>1.4603878929476035E-3</v>
          </cell>
          <cell r="EQ208" t="str">
            <v>Serviços Educacionais</v>
          </cell>
        </row>
        <row r="209">
          <cell r="A209" t="str">
            <v>HRT PETROLEO</v>
          </cell>
          <cell r="C209" t="str">
            <v>NM</v>
          </cell>
          <cell r="F209" t="str">
            <v>IPO</v>
          </cell>
          <cell r="G209" t="str">
            <v>ICVM 400</v>
          </cell>
          <cell r="J209">
            <v>40476</v>
          </cell>
          <cell r="M209" t="str">
            <v>Credit Suisse</v>
          </cell>
          <cell r="W209">
            <v>1200</v>
          </cell>
          <cell r="X209">
            <v>40472</v>
          </cell>
          <cell r="AO209">
            <v>2474746800</v>
          </cell>
          <cell r="AP209">
            <v>6253200</v>
          </cell>
          <cell r="AQ209">
            <v>2481000000</v>
          </cell>
          <cell r="BL209">
            <v>127</v>
          </cell>
          <cell r="DZ209">
            <v>646</v>
          </cell>
          <cell r="ED209">
            <v>1457183131.6809585</v>
          </cell>
          <cell r="EF209">
            <v>2.0300411522633746E-2</v>
          </cell>
          <cell r="EH209">
            <v>0.12973159579332419</v>
          </cell>
          <cell r="EJ209">
            <v>0.84932784636488345</v>
          </cell>
          <cell r="EL209">
            <v>6.4014631915866485E-4</v>
          </cell>
          <cell r="EQ209" t="str">
            <v xml:space="preserve">Exploração e/ou Refino </v>
          </cell>
        </row>
        <row r="210">
          <cell r="A210" t="str">
            <v>LOPES BRASIL</v>
          </cell>
          <cell r="C210" t="str">
            <v>NM</v>
          </cell>
          <cell r="F210" t="str">
            <v>FOLLOW-ON</v>
          </cell>
          <cell r="G210" t="str">
            <v>ICVM 400</v>
          </cell>
          <cell r="J210">
            <v>40476</v>
          </cell>
          <cell r="M210" t="str">
            <v>Itaú BBA</v>
          </cell>
          <cell r="W210">
            <v>37.51</v>
          </cell>
          <cell r="X210">
            <v>40472</v>
          </cell>
          <cell r="AO210">
            <v>207055200</v>
          </cell>
          <cell r="AP210">
            <v>0</v>
          </cell>
          <cell r="AQ210">
            <v>207055200</v>
          </cell>
          <cell r="BL210">
            <v>2035</v>
          </cell>
          <cell r="DZ210">
            <v>2215</v>
          </cell>
          <cell r="ED210">
            <v>121611182.89674616</v>
          </cell>
          <cell r="EF210">
            <v>8.5058695652173902E-2</v>
          </cell>
          <cell r="EH210">
            <v>0.26343079710144923</v>
          </cell>
          <cell r="EJ210">
            <v>0.64918115942028976</v>
          </cell>
          <cell r="EL210">
            <v>2.3293478260869565E-3</v>
          </cell>
          <cell r="EQ210" t="str">
            <v>Intermediação Imobiliária</v>
          </cell>
        </row>
        <row r="211">
          <cell r="A211" t="str">
            <v>BR INSURANCE</v>
          </cell>
          <cell r="C211" t="str">
            <v>NM</v>
          </cell>
          <cell r="F211" t="str">
            <v>IPO</v>
          </cell>
          <cell r="G211" t="str">
            <v>ICVM 400</v>
          </cell>
          <cell r="J211">
            <v>40483</v>
          </cell>
          <cell r="M211" t="str">
            <v>Morgan Stanley</v>
          </cell>
          <cell r="W211">
            <v>1350</v>
          </cell>
          <cell r="X211">
            <v>40479</v>
          </cell>
          <cell r="AO211">
            <v>348097500</v>
          </cell>
          <cell r="AP211">
            <v>296527500</v>
          </cell>
          <cell r="AQ211">
            <v>644625000</v>
          </cell>
          <cell r="BL211">
            <v>70</v>
          </cell>
          <cell r="DZ211">
            <v>472</v>
          </cell>
          <cell r="ED211">
            <v>378212274.11405778</v>
          </cell>
          <cell r="EF211">
            <v>4.862198952879581E-2</v>
          </cell>
          <cell r="EH211">
            <v>0.15247748691099478</v>
          </cell>
          <cell r="EJ211">
            <v>0.79890052356020946</v>
          </cell>
          <cell r="EL211">
            <v>0</v>
          </cell>
          <cell r="EQ211" t="str">
            <v>Corretoras de Seguros</v>
          </cell>
        </row>
        <row r="212">
          <cell r="A212" t="str">
            <v>ANHANGUERA</v>
          </cell>
          <cell r="C212" t="str">
            <v>NM</v>
          </cell>
          <cell r="F212" t="str">
            <v>FOLLOW-ON</v>
          </cell>
          <cell r="G212" t="str">
            <v>ICVM 400</v>
          </cell>
          <cell r="J212">
            <v>40525</v>
          </cell>
          <cell r="M212" t="str">
            <v>Itaú BBA</v>
          </cell>
          <cell r="W212">
            <v>36.700000000000003</v>
          </cell>
          <cell r="X212">
            <v>40521</v>
          </cell>
          <cell r="AO212">
            <v>844100000</v>
          </cell>
          <cell r="AP212">
            <v>0</v>
          </cell>
          <cell r="AQ212">
            <v>844100000</v>
          </cell>
          <cell r="BL212">
            <v>2124</v>
          </cell>
          <cell r="DZ212">
            <v>2484</v>
          </cell>
          <cell r="ED212">
            <v>495742056.73342335</v>
          </cell>
          <cell r="EF212">
            <v>8.5455130434782603E-2</v>
          </cell>
          <cell r="EH212">
            <v>0.16158069565217387</v>
          </cell>
          <cell r="EJ212">
            <v>0.75078617391304348</v>
          </cell>
          <cell r="EL212">
            <v>2.1779999999999998E-3</v>
          </cell>
          <cell r="EQ212" t="str">
            <v>Serviços Educacionais</v>
          </cell>
        </row>
        <row r="213">
          <cell r="A213" t="str">
            <v>RAIA</v>
          </cell>
          <cell r="C213" t="str">
            <v>NM</v>
          </cell>
          <cell r="F213" t="str">
            <v>IPO</v>
          </cell>
          <cell r="G213" t="str">
            <v>ICVM 400</v>
          </cell>
          <cell r="J213">
            <v>40532</v>
          </cell>
          <cell r="M213" t="str">
            <v>Itaú BBA</v>
          </cell>
          <cell r="W213">
            <v>24</v>
          </cell>
          <cell r="X213">
            <v>40528</v>
          </cell>
          <cell r="AO213">
            <v>525655800</v>
          </cell>
          <cell r="AP213">
            <v>129041880</v>
          </cell>
          <cell r="AQ213">
            <v>654697680</v>
          </cell>
          <cell r="BL213">
            <v>6672</v>
          </cell>
          <cell r="DZ213">
            <v>7477</v>
          </cell>
          <cell r="ED213">
            <v>383267579.90867579</v>
          </cell>
          <cell r="EF213">
            <v>8.561534539117352E-2</v>
          </cell>
          <cell r="EH213">
            <v>0.26465674966192027</v>
          </cell>
          <cell r="EJ213">
            <v>0.6480352519349083</v>
          </cell>
          <cell r="EL213">
            <v>1.6926530119978429E-3</v>
          </cell>
          <cell r="EQ213" t="str">
            <v>Medicamentos</v>
          </cell>
        </row>
        <row r="214">
          <cell r="A214" t="str">
            <v xml:space="preserve">AREZZO CO </v>
          </cell>
          <cell r="C214" t="str">
            <v>NM</v>
          </cell>
          <cell r="F214" t="str">
            <v>IPO</v>
          </cell>
          <cell r="G214" t="str">
            <v>ICVM 400</v>
          </cell>
          <cell r="J214">
            <v>40576</v>
          </cell>
          <cell r="M214" t="str">
            <v>Itaú BBA</v>
          </cell>
          <cell r="W214">
            <v>19</v>
          </cell>
          <cell r="X214">
            <v>40574</v>
          </cell>
          <cell r="AO214">
            <v>195588242</v>
          </cell>
          <cell r="AP214">
            <v>370220605</v>
          </cell>
          <cell r="AQ214">
            <v>565808847</v>
          </cell>
          <cell r="BL214">
            <v>8992</v>
          </cell>
          <cell r="DZ214">
            <v>9799</v>
          </cell>
          <cell r="ED214">
            <v>339397064.96310961</v>
          </cell>
          <cell r="EF214">
            <v>7.5768283276772444E-2</v>
          </cell>
          <cell r="EH214">
            <v>0.22417204798496196</v>
          </cell>
          <cell r="EJ214">
            <v>0.69878059718638508</v>
          </cell>
          <cell r="EL214">
            <v>1.2790715518804887E-3</v>
          </cell>
          <cell r="EQ214" t="str">
            <v>Tecidos, Vestuário e Calçados</v>
          </cell>
        </row>
        <row r="215">
          <cell r="A215" t="str">
            <v xml:space="preserve">SIERRABRASIL </v>
          </cell>
          <cell r="C215" t="str">
            <v>NM</v>
          </cell>
          <cell r="F215" t="str">
            <v>IPO</v>
          </cell>
          <cell r="G215" t="str">
            <v>ICVM 400</v>
          </cell>
          <cell r="J215">
            <v>40577</v>
          </cell>
          <cell r="M215" t="str">
            <v>Credit Suisse</v>
          </cell>
          <cell r="W215">
            <v>20</v>
          </cell>
          <cell r="X215">
            <v>40575</v>
          </cell>
          <cell r="AO215">
            <v>465020860</v>
          </cell>
          <cell r="AP215">
            <v>0</v>
          </cell>
          <cell r="AQ215">
            <v>465020860</v>
          </cell>
          <cell r="BL215">
            <v>3389</v>
          </cell>
          <cell r="DZ215">
            <v>3739</v>
          </cell>
          <cell r="ED215">
            <v>278505635.74294782</v>
          </cell>
          <cell r="EF215">
            <v>8.8000427214554006E-2</v>
          </cell>
          <cell r="EH215">
            <v>0.35426214890342478</v>
          </cell>
          <cell r="EJ215">
            <v>0.55478970200488498</v>
          </cell>
          <cell r="EL215">
            <v>2.9477218771362559E-3</v>
          </cell>
          <cell r="EQ215" t="str">
            <v xml:space="preserve">Exploração de Imóveis </v>
          </cell>
        </row>
        <row r="216">
          <cell r="A216" t="str">
            <v xml:space="preserve">TECNISA </v>
          </cell>
          <cell r="C216" t="str">
            <v>NM</v>
          </cell>
          <cell r="F216" t="str">
            <v>FOLLOW-ON</v>
          </cell>
          <cell r="G216" t="str">
            <v>ICVM 400</v>
          </cell>
          <cell r="J216">
            <v>40577</v>
          </cell>
          <cell r="M216" t="str">
            <v>Itaú BBA</v>
          </cell>
          <cell r="W216">
            <v>10</v>
          </cell>
          <cell r="X216">
            <v>40575</v>
          </cell>
          <cell r="AO216">
            <v>398305000</v>
          </cell>
          <cell r="AP216">
            <v>0</v>
          </cell>
          <cell r="AQ216">
            <v>398305000</v>
          </cell>
          <cell r="BL216">
            <v>2391</v>
          </cell>
          <cell r="DZ216">
            <v>2665</v>
          </cell>
          <cell r="ED216">
            <v>238548841.10918128</v>
          </cell>
          <cell r="EF216">
            <v>8.9707391304347822E-2</v>
          </cell>
          <cell r="EH216">
            <v>0.39460777777777778</v>
          </cell>
          <cell r="EJ216">
            <v>0.5134309178743961</v>
          </cell>
          <cell r="EL216">
            <v>2.2539130434782607E-3</v>
          </cell>
          <cell r="EQ216" t="str">
            <v>Construção Civil</v>
          </cell>
        </row>
        <row r="217">
          <cell r="A217" t="str">
            <v xml:space="preserve">AUTOMETAL </v>
          </cell>
          <cell r="C217" t="str">
            <v>NM</v>
          </cell>
          <cell r="F217" t="str">
            <v>IPO</v>
          </cell>
          <cell r="G217" t="str">
            <v>ICVM 400</v>
          </cell>
          <cell r="J217">
            <v>40581</v>
          </cell>
          <cell r="M217" t="str">
            <v>Santander</v>
          </cell>
          <cell r="W217">
            <v>14</v>
          </cell>
          <cell r="X217">
            <v>40577</v>
          </cell>
          <cell r="AO217">
            <v>440752200</v>
          </cell>
          <cell r="AP217">
            <v>13559420</v>
          </cell>
          <cell r="AQ217">
            <v>454311620</v>
          </cell>
          <cell r="BL217">
            <v>3545</v>
          </cell>
          <cell r="DZ217">
            <v>3837</v>
          </cell>
          <cell r="ED217">
            <v>270810455.41249406</v>
          </cell>
          <cell r="EF217">
            <v>8.6564052008444567E-2</v>
          </cell>
          <cell r="EH217">
            <v>0.13552680250634339</v>
          </cell>
          <cell r="EJ217">
            <v>0.63921363606043569</v>
          </cell>
          <cell r="EL217">
            <v>0.13869550942477635</v>
          </cell>
          <cell r="EQ217" t="str">
            <v>Material Rodoviário</v>
          </cell>
        </row>
        <row r="218">
          <cell r="A218" t="str">
            <v xml:space="preserve">BR BROKERS </v>
          </cell>
          <cell r="C218" t="str">
            <v>NM</v>
          </cell>
          <cell r="F218" t="str">
            <v>FOLLOW-ON</v>
          </cell>
          <cell r="G218" t="str">
            <v>ICVM 400</v>
          </cell>
          <cell r="J218">
            <v>40581</v>
          </cell>
          <cell r="M218" t="str">
            <v>Credit Suisse</v>
          </cell>
          <cell r="W218">
            <v>7.9</v>
          </cell>
          <cell r="X218">
            <v>40577</v>
          </cell>
          <cell r="AO218">
            <v>189303552.5</v>
          </cell>
          <cell r="AP218">
            <v>0</v>
          </cell>
          <cell r="AQ218">
            <v>189303552.5</v>
          </cell>
          <cell r="BL218">
            <v>2729</v>
          </cell>
          <cell r="DZ218">
            <v>2874</v>
          </cell>
          <cell r="ED218">
            <v>112841888.710062</v>
          </cell>
          <cell r="EF218">
            <v>8.6013693015649026E-2</v>
          </cell>
          <cell r="EH218">
            <v>9.8390440492742148E-2</v>
          </cell>
          <cell r="EJ218">
            <v>0.81355158003586503</v>
          </cell>
          <cell r="EL218">
            <v>2.0442864557438122E-3</v>
          </cell>
          <cell r="EQ218" t="str">
            <v xml:space="preserve">Intermediação Imobiliária </v>
          </cell>
        </row>
        <row r="219">
          <cell r="A219" t="str">
            <v xml:space="preserve">QGEP PART </v>
          </cell>
          <cell r="C219" t="str">
            <v>NM</v>
          </cell>
          <cell r="F219" t="str">
            <v>IPO</v>
          </cell>
          <cell r="G219" t="str">
            <v>ICVM 400</v>
          </cell>
          <cell r="J219">
            <v>40583</v>
          </cell>
          <cell r="M219" t="str">
            <v>Itaú BBA</v>
          </cell>
          <cell r="W219">
            <v>19</v>
          </cell>
          <cell r="X219">
            <v>40581</v>
          </cell>
          <cell r="AO219">
            <v>1515079361</v>
          </cell>
          <cell r="AP219">
            <v>0</v>
          </cell>
          <cell r="AQ219">
            <v>1515079361</v>
          </cell>
          <cell r="BL219">
            <v>8896</v>
          </cell>
          <cell r="DZ219">
            <v>9722</v>
          </cell>
          <cell r="ED219">
            <v>910340299.82575262</v>
          </cell>
          <cell r="EF219">
            <v>0.12466858493493795</v>
          </cell>
          <cell r="EH219">
            <v>0.14722146954254497</v>
          </cell>
          <cell r="EJ219">
            <v>0.72067911497343673</v>
          </cell>
          <cell r="EL219">
            <v>7.4308305490803925E-3</v>
          </cell>
          <cell r="EQ219" t="str">
            <v xml:space="preserve">Exploração e/ou Refino </v>
          </cell>
        </row>
        <row r="220">
          <cell r="A220" t="str">
            <v>DIRECIONAL</v>
          </cell>
          <cell r="C220" t="str">
            <v>NM</v>
          </cell>
          <cell r="F220" t="str">
            <v>FOLLOW-ON</v>
          </cell>
          <cell r="G220" t="str">
            <v>ICVM 400</v>
          </cell>
          <cell r="J220">
            <v>40585</v>
          </cell>
          <cell r="M220" t="str">
            <v>Itaú BBA</v>
          </cell>
          <cell r="W220">
            <v>11</v>
          </cell>
          <cell r="X220">
            <v>40583</v>
          </cell>
          <cell r="AO220">
            <v>228800000</v>
          </cell>
          <cell r="AP220">
            <v>79200000</v>
          </cell>
          <cell r="AQ220">
            <v>308000000</v>
          </cell>
          <cell r="BL220">
            <v>1162</v>
          </cell>
          <cell r="DZ220">
            <v>1336</v>
          </cell>
          <cell r="ED220">
            <v>184663349.12164998</v>
          </cell>
          <cell r="EF220">
            <v>0.10623077922077923</v>
          </cell>
          <cell r="EH220">
            <v>8.482467532467533E-2</v>
          </cell>
          <cell r="EJ220">
            <v>0.80692808441558439</v>
          </cell>
          <cell r="EL220">
            <v>2.016461038961039E-3</v>
          </cell>
          <cell r="EQ220" t="str">
            <v xml:space="preserve">Construção Civil </v>
          </cell>
        </row>
        <row r="221">
          <cell r="A221" t="str">
            <v>MAGNESITA SA</v>
          </cell>
          <cell r="C221" t="str">
            <v>NM</v>
          </cell>
          <cell r="F221" t="str">
            <v>FOLLOW-ON</v>
          </cell>
          <cell r="G221" t="str">
            <v>ICVM 400</v>
          </cell>
          <cell r="J221">
            <v>40589</v>
          </cell>
          <cell r="M221" t="str">
            <v>Itaú BBA</v>
          </cell>
          <cell r="W221">
            <v>8.25</v>
          </cell>
          <cell r="X221">
            <v>40585</v>
          </cell>
          <cell r="AO221">
            <v>278602500</v>
          </cell>
          <cell r="AP221">
            <v>0</v>
          </cell>
          <cell r="AQ221">
            <v>278602500</v>
          </cell>
          <cell r="BL221">
            <v>1620</v>
          </cell>
          <cell r="DZ221">
            <v>1822</v>
          </cell>
          <cell r="ED221">
            <v>167007852.77544659</v>
          </cell>
          <cell r="EF221">
            <v>0.12608430559668346</v>
          </cell>
          <cell r="EH221">
            <v>0.34393180337577733</v>
          </cell>
          <cell r="EJ221">
            <v>0.52754006514657981</v>
          </cell>
          <cell r="EL221">
            <v>2.4438258809594314E-3</v>
          </cell>
          <cell r="EQ221" t="str">
            <v xml:space="preserve">Materiais Diversos </v>
          </cell>
        </row>
        <row r="222">
          <cell r="A222" t="str">
            <v>IMC HOLDINGS</v>
          </cell>
          <cell r="C222" t="str">
            <v>NM</v>
          </cell>
          <cell r="F222" t="str">
            <v>IPO</v>
          </cell>
          <cell r="G222" t="str">
            <v>ICVM 400</v>
          </cell>
          <cell r="J222">
            <v>40611</v>
          </cell>
          <cell r="M222" t="str">
            <v>BTG Pactual</v>
          </cell>
          <cell r="W222">
            <v>13.5</v>
          </cell>
          <cell r="X222">
            <v>40605</v>
          </cell>
          <cell r="AO222">
            <v>320515987.5</v>
          </cell>
          <cell r="AP222">
            <v>133079733</v>
          </cell>
          <cell r="AQ222">
            <v>453595720.5</v>
          </cell>
          <cell r="BL222">
            <v>669</v>
          </cell>
          <cell r="DZ222">
            <v>775</v>
          </cell>
          <cell r="ED222">
            <v>273927000.72468144</v>
          </cell>
          <cell r="EF222">
            <v>2.6061733975287802E-2</v>
          </cell>
          <cell r="EH222">
            <v>4.086136765040313E-2</v>
          </cell>
          <cell r="EJ222">
            <v>0.93203641236734291</v>
          </cell>
          <cell r="EL222">
            <v>1.0404860069661967E-3</v>
          </cell>
          <cell r="EQ222" t="str">
            <v xml:space="preserve">Restaurante e Similares </v>
          </cell>
        </row>
        <row r="223">
          <cell r="A223" t="str">
            <v>TIME FOR FUN</v>
          </cell>
          <cell r="C223" t="str">
            <v>NM</v>
          </cell>
          <cell r="F223" t="str">
            <v>IPO</v>
          </cell>
          <cell r="G223" t="str">
            <v>ICVM 400</v>
          </cell>
          <cell r="J223">
            <v>40646</v>
          </cell>
          <cell r="M223" t="str">
            <v>Credit Suisse</v>
          </cell>
          <cell r="W223">
            <v>16</v>
          </cell>
          <cell r="X223">
            <v>40644</v>
          </cell>
          <cell r="AO223">
            <v>187586208</v>
          </cell>
          <cell r="AP223">
            <v>315476128</v>
          </cell>
          <cell r="AQ223">
            <v>503062336</v>
          </cell>
          <cell r="BL223">
            <v>900</v>
          </cell>
          <cell r="DZ223">
            <v>1041</v>
          </cell>
          <cell r="ED223">
            <v>317109389.81341404</v>
          </cell>
          <cell r="EF223">
            <v>3.9950934669273609E-2</v>
          </cell>
          <cell r="EH223">
            <v>5.0783762468071814E-2</v>
          </cell>
          <cell r="EJ223">
            <v>0.90842230029131132</v>
          </cell>
          <cell r="EL223">
            <v>8.4300257134326461E-4</v>
          </cell>
          <cell r="EQ223" t="str">
            <v>Produção de Eventos e Shows</v>
          </cell>
        </row>
        <row r="224">
          <cell r="A224" t="str">
            <v>GERDAU</v>
          </cell>
          <cell r="C224" t="str">
            <v>N1</v>
          </cell>
          <cell r="F224" t="str">
            <v>FOLLOW-ON</v>
          </cell>
          <cell r="G224" t="str">
            <v>ICVM 400</v>
          </cell>
          <cell r="J224">
            <v>40647</v>
          </cell>
          <cell r="M224" t="str">
            <v>BTG Pactual</v>
          </cell>
          <cell r="W224">
            <v>18.336658749391823</v>
          </cell>
          <cell r="X224">
            <v>40645</v>
          </cell>
          <cell r="AO224">
            <v>3719719767.2919645</v>
          </cell>
          <cell r="AP224">
            <v>1265229453.7080357</v>
          </cell>
          <cell r="AQ224">
            <v>4984949221</v>
          </cell>
          <cell r="BL224">
            <v>10579</v>
          </cell>
          <cell r="DZ224">
            <v>12141</v>
          </cell>
          <cell r="ED224">
            <v>3146666595.7581115</v>
          </cell>
          <cell r="EF224">
            <v>7.582816324036093E-2</v>
          </cell>
          <cell r="EH224">
            <v>0.29844854643822538</v>
          </cell>
          <cell r="EJ224">
            <v>0.39040359926734458</v>
          </cell>
          <cell r="EL224">
            <v>0.23531969105406925</v>
          </cell>
          <cell r="EQ224" t="str">
            <v>Siderurgia</v>
          </cell>
        </row>
        <row r="225">
          <cell r="A225" t="str">
            <v>MAGAZ LUIZA</v>
          </cell>
          <cell r="C225" t="str">
            <v>NM</v>
          </cell>
          <cell r="F225" t="str">
            <v>IPO</v>
          </cell>
          <cell r="G225" t="str">
            <v>ICVM 400</v>
          </cell>
          <cell r="J225">
            <v>40665</v>
          </cell>
          <cell r="M225" t="str">
            <v>Itaú BBA</v>
          </cell>
          <cell r="W225">
            <v>16</v>
          </cell>
          <cell r="X225">
            <v>40661</v>
          </cell>
          <cell r="AO225">
            <v>583911472</v>
          </cell>
          <cell r="AP225">
            <v>302469264</v>
          </cell>
          <cell r="AQ225">
            <v>886380736</v>
          </cell>
          <cell r="BL225">
            <v>34496</v>
          </cell>
          <cell r="DZ225">
            <v>36995</v>
          </cell>
          <cell r="ED225">
            <v>562888636.56569505</v>
          </cell>
          <cell r="EF225">
            <v>0.20802924274677803</v>
          </cell>
          <cell r="EH225">
            <v>0.30141201082666297</v>
          </cell>
          <cell r="EJ225">
            <v>0.46802855213326644</v>
          </cell>
          <cell r="EL225">
            <v>2.2530194293292567E-2</v>
          </cell>
          <cell r="EQ225" t="str">
            <v>Eletrodomésticos</v>
          </cell>
        </row>
        <row r="226">
          <cell r="A226" t="str">
            <v xml:space="preserve">BR MALLS PAR </v>
          </cell>
          <cell r="C226" t="str">
            <v>NM</v>
          </cell>
          <cell r="F226" t="str">
            <v>FOLLOW-ON</v>
          </cell>
          <cell r="G226" t="str">
            <v>ICVM 400</v>
          </cell>
          <cell r="J226">
            <v>40675</v>
          </cell>
          <cell r="M226" t="str">
            <v>Itaú BBA</v>
          </cell>
          <cell r="W226">
            <v>17.2</v>
          </cell>
          <cell r="X226">
            <v>40673</v>
          </cell>
          <cell r="AO226">
            <v>731000000</v>
          </cell>
          <cell r="AP226">
            <v>0</v>
          </cell>
          <cell r="AQ226">
            <v>731000000</v>
          </cell>
          <cell r="BL226">
            <v>950</v>
          </cell>
          <cell r="DZ226">
            <v>1486</v>
          </cell>
          <cell r="ED226">
            <v>451039674.21484542</v>
          </cell>
          <cell r="EF226">
            <v>5.9335835294117636E-2</v>
          </cell>
          <cell r="EH226">
            <v>0.22571101176470587</v>
          </cell>
          <cell r="EJ226">
            <v>0.71218957647058823</v>
          </cell>
          <cell r="EL226">
            <v>2.7635764705882353E-3</v>
          </cell>
          <cell r="EQ226" t="str">
            <v>Exploração de Imóveis</v>
          </cell>
        </row>
        <row r="227">
          <cell r="A227" t="str">
            <v>BR PHARMA</v>
          </cell>
          <cell r="C227" t="str">
            <v>NM</v>
          </cell>
          <cell r="F227" t="str">
            <v>IPO</v>
          </cell>
          <cell r="G227" t="str">
            <v>ICVM 400</v>
          </cell>
          <cell r="J227">
            <v>40721</v>
          </cell>
          <cell r="M227" t="str">
            <v>BTG Pactual</v>
          </cell>
          <cell r="W227">
            <v>17.25</v>
          </cell>
          <cell r="X227">
            <v>40716</v>
          </cell>
          <cell r="AO227">
            <v>414000000</v>
          </cell>
          <cell r="AP227">
            <v>0</v>
          </cell>
          <cell r="AQ227">
            <v>414000000</v>
          </cell>
          <cell r="BL227">
            <v>141</v>
          </cell>
          <cell r="DZ227">
            <v>372</v>
          </cell>
          <cell r="ED227">
            <v>259252301.33383432</v>
          </cell>
          <cell r="EF227">
            <v>0.10044444444444445</v>
          </cell>
          <cell r="EH227">
            <v>0.33304866666666666</v>
          </cell>
          <cell r="EJ227">
            <v>0.5639142962962963</v>
          </cell>
          <cell r="EL227">
            <v>2.5925925925925925E-3</v>
          </cell>
          <cell r="EQ227" t="str">
            <v>Medicamentos</v>
          </cell>
        </row>
        <row r="228">
          <cell r="A228" t="str">
            <v>QUALICORP</v>
          </cell>
          <cell r="C228" t="str">
            <v>NM</v>
          </cell>
          <cell r="F228" t="str">
            <v>IPO</v>
          </cell>
          <cell r="G228" t="str">
            <v>ICVM 400</v>
          </cell>
          <cell r="J228">
            <v>40723</v>
          </cell>
          <cell r="M228" t="str">
            <v>BofA Merrill Lynch</v>
          </cell>
          <cell r="W228">
            <v>13</v>
          </cell>
          <cell r="X228">
            <v>40721</v>
          </cell>
          <cell r="AO228">
            <v>353852577</v>
          </cell>
          <cell r="AP228">
            <v>731295305</v>
          </cell>
          <cell r="AQ228">
            <v>1085147882</v>
          </cell>
          <cell r="BL228">
            <v>807</v>
          </cell>
          <cell r="DZ228">
            <v>997</v>
          </cell>
          <cell r="ED228">
            <v>689858793.38842976</v>
          </cell>
          <cell r="EF228">
            <v>1.9884629881257051E-2</v>
          </cell>
          <cell r="EH228">
            <v>8.3228770472778754E-2</v>
          </cell>
          <cell r="EJ228">
            <v>0.89637163020330168</v>
          </cell>
          <cell r="EL228">
            <v>5.1496944266256242E-4</v>
          </cell>
          <cell r="EQ228" t="str">
            <v>Serv. Méd. Hospit., Análises e Diagnósticos</v>
          </cell>
        </row>
        <row r="229">
          <cell r="A229" t="str">
            <v xml:space="preserve">BR PROPERT </v>
          </cell>
          <cell r="C229" t="str">
            <v>NM</v>
          </cell>
          <cell r="F229" t="str">
            <v>FOLLOW-ON</v>
          </cell>
          <cell r="G229" t="str">
            <v>ICVM 400</v>
          </cell>
          <cell r="J229">
            <v>40724</v>
          </cell>
          <cell r="M229" t="str">
            <v>Itaú BBA</v>
          </cell>
          <cell r="W229">
            <v>17.149999999999999</v>
          </cell>
          <cell r="X229">
            <v>40722</v>
          </cell>
          <cell r="AO229">
            <v>690287500</v>
          </cell>
          <cell r="AP229">
            <v>0</v>
          </cell>
          <cell r="AQ229">
            <v>690287500</v>
          </cell>
          <cell r="BL229">
            <v>607</v>
          </cell>
          <cell r="DZ229">
            <v>951</v>
          </cell>
          <cell r="ED229">
            <v>442180193.45333421</v>
          </cell>
          <cell r="EF229">
            <v>5.7693639751552783E-2</v>
          </cell>
          <cell r="EH229">
            <v>0.24812397515527951</v>
          </cell>
          <cell r="EJ229">
            <v>0.68790832298136639</v>
          </cell>
          <cell r="EL229">
            <v>6.2740621118012414E-3</v>
          </cell>
          <cell r="EQ229" t="str">
            <v xml:space="preserve">Exploração de Imóveis </v>
          </cell>
        </row>
        <row r="230">
          <cell r="A230" t="str">
            <v>TECHNOS</v>
          </cell>
          <cell r="C230" t="str">
            <v>NM</v>
          </cell>
          <cell r="F230" t="str">
            <v>IPO</v>
          </cell>
          <cell r="G230" t="str">
            <v>ICVM 400</v>
          </cell>
          <cell r="J230">
            <v>40725</v>
          </cell>
          <cell r="M230" t="str">
            <v>Itaú BBA</v>
          </cell>
          <cell r="W230">
            <v>16.5</v>
          </cell>
          <cell r="X230">
            <v>40722</v>
          </cell>
          <cell r="AO230">
            <v>180608109</v>
          </cell>
          <cell r="AP230">
            <v>280945945.5</v>
          </cell>
          <cell r="AQ230">
            <v>461554054.5</v>
          </cell>
          <cell r="BL230">
            <v>586</v>
          </cell>
          <cell r="DZ230">
            <v>739</v>
          </cell>
          <cell r="ED230">
            <v>295886950.76607472</v>
          </cell>
          <cell r="EF230">
            <v>5.7827210572147625E-2</v>
          </cell>
          <cell r="EH230">
            <v>0.3897494199132856</v>
          </cell>
          <cell r="EJ230">
            <v>0.55167496854910636</v>
          </cell>
          <cell r="EL230">
            <v>7.5161835676172141E-4</v>
          </cell>
          <cell r="EQ230" t="str">
            <v>Acessórios</v>
          </cell>
        </row>
        <row r="231">
          <cell r="A231" t="str">
            <v>KROTON</v>
          </cell>
          <cell r="C231" t="str">
            <v>N2</v>
          </cell>
          <cell r="F231" t="str">
            <v>FOLLOW-ON</v>
          </cell>
          <cell r="G231" t="str">
            <v>ICVM 400</v>
          </cell>
          <cell r="J231">
            <v>40725</v>
          </cell>
          <cell r="M231" t="str">
            <v>Itaú BBA</v>
          </cell>
          <cell r="W231">
            <v>19.25</v>
          </cell>
          <cell r="X231">
            <v>40723</v>
          </cell>
          <cell r="AO231">
            <v>380229850</v>
          </cell>
          <cell r="AP231">
            <v>15400000</v>
          </cell>
          <cell r="AQ231">
            <v>395629850</v>
          </cell>
          <cell r="BL231">
            <v>413</v>
          </cell>
          <cell r="DZ231">
            <v>587</v>
          </cell>
          <cell r="ED231">
            <v>253625136.22668117</v>
          </cell>
          <cell r="EF231">
            <v>8.3583963759909397E-2</v>
          </cell>
          <cell r="EH231">
            <v>0.19731646659116647</v>
          </cell>
          <cell r="EJ231">
            <v>0.71769019252548127</v>
          </cell>
          <cell r="EL231">
            <v>1.4093771234428086E-3</v>
          </cell>
          <cell r="EQ231" t="str">
            <v>Serviços Educacionais</v>
          </cell>
        </row>
        <row r="232">
          <cell r="A232" t="str">
            <v>METAL LEVE</v>
          </cell>
          <cell r="C232" t="str">
            <v>NM</v>
          </cell>
          <cell r="F232" t="str">
            <v>FOLLOW-ON</v>
          </cell>
          <cell r="G232" t="str">
            <v>ICVM 400</v>
          </cell>
          <cell r="J232">
            <v>40729</v>
          </cell>
          <cell r="M232" t="str">
            <v>Itaú BBA</v>
          </cell>
          <cell r="W232">
            <v>41</v>
          </cell>
          <cell r="X232">
            <v>40724</v>
          </cell>
          <cell r="AO232">
            <v>0</v>
          </cell>
          <cell r="AP232">
            <v>305766315</v>
          </cell>
          <cell r="AQ232">
            <v>305766315</v>
          </cell>
          <cell r="BL232">
            <v>377</v>
          </cell>
          <cell r="DZ232">
            <v>619</v>
          </cell>
          <cell r="ED232">
            <v>195540266.67519343</v>
          </cell>
          <cell r="EF232">
            <v>8.9420187357390601E-2</v>
          </cell>
          <cell r="EH232">
            <v>0.41020168490750974</v>
          </cell>
          <cell r="EJ232">
            <v>0.37887378880545819</v>
          </cell>
          <cell r="EL232">
            <v>0.12150433892964148</v>
          </cell>
          <cell r="EQ232" t="str">
            <v>Material Rodoviário</v>
          </cell>
        </row>
        <row r="233">
          <cell r="A233" t="str">
            <v>ENERGIAS BR</v>
          </cell>
          <cell r="C233" t="str">
            <v>NM</v>
          </cell>
          <cell r="F233" t="str">
            <v>FOLLOW-ON</v>
          </cell>
          <cell r="G233" t="str">
            <v>ICVM 400</v>
          </cell>
          <cell r="J233">
            <v>40735</v>
          </cell>
          <cell r="M233" t="str">
            <v>Santander</v>
          </cell>
          <cell r="W233">
            <v>37</v>
          </cell>
          <cell r="X233">
            <v>40731</v>
          </cell>
          <cell r="AO233">
            <v>0</v>
          </cell>
          <cell r="AP233">
            <v>810724020</v>
          </cell>
          <cell r="AQ233">
            <v>810724020</v>
          </cell>
          <cell r="BL233">
            <v>1278</v>
          </cell>
          <cell r="DZ233">
            <v>1816</v>
          </cell>
          <cell r="ED233">
            <v>513246404.15295017</v>
          </cell>
          <cell r="EF233">
            <v>0.10626512336466853</v>
          </cell>
          <cell r="EH233">
            <v>0.29300804236687106</v>
          </cell>
          <cell r="EJ233">
            <v>0.59803344916313195</v>
          </cell>
          <cell r="EL233">
            <v>2.6933851053284447E-3</v>
          </cell>
          <cell r="EQ233" t="str">
            <v>Energia Elétrica</v>
          </cell>
        </row>
        <row r="234">
          <cell r="A234" t="str">
            <v>ABRIL EDUCA</v>
          </cell>
          <cell r="C234" t="str">
            <v>N2</v>
          </cell>
          <cell r="F234" t="str">
            <v>IPO</v>
          </cell>
          <cell r="G234" t="str">
            <v>ICVM 400</v>
          </cell>
          <cell r="J234">
            <v>40750</v>
          </cell>
          <cell r="M234" t="str">
            <v>Credit Suisse</v>
          </cell>
          <cell r="W234">
            <v>20</v>
          </cell>
          <cell r="X234">
            <v>40745</v>
          </cell>
          <cell r="AO234">
            <v>371134040</v>
          </cell>
          <cell r="AP234">
            <v>0</v>
          </cell>
          <cell r="AQ234">
            <v>371134040</v>
          </cell>
          <cell r="BL234">
            <v>1394</v>
          </cell>
          <cell r="DZ234">
            <v>1604</v>
          </cell>
          <cell r="ED234">
            <v>241859915.28185076</v>
          </cell>
          <cell r="EF234">
            <v>0.11937944182078458</v>
          </cell>
          <cell r="EH234">
            <v>0.35915771576161376</v>
          </cell>
          <cell r="EJ234">
            <v>0.42445698863183473</v>
          </cell>
          <cell r="EL234">
            <v>9.7005853785766927E-2</v>
          </cell>
          <cell r="EQ234" t="str">
            <v xml:space="preserve">Jornais, Livros e Revistas </v>
          </cell>
        </row>
        <row r="235">
          <cell r="A235" t="str">
            <v>TIM PART S/A</v>
          </cell>
          <cell r="C235" t="str">
            <v>NM</v>
          </cell>
          <cell r="F235" t="str">
            <v>FOLLOW-ON</v>
          </cell>
          <cell r="G235" t="str">
            <v>ICVM 400</v>
          </cell>
          <cell r="J235">
            <v>40822</v>
          </cell>
          <cell r="M235" t="str">
            <v>Itaú BBA</v>
          </cell>
          <cell r="W235">
            <v>8.6</v>
          </cell>
          <cell r="X235">
            <v>40820</v>
          </cell>
          <cell r="AO235">
            <v>1722221964.8</v>
          </cell>
          <cell r="AP235">
            <v>0</v>
          </cell>
          <cell r="AQ235">
            <v>1722221964.8</v>
          </cell>
          <cell r="BL235">
            <v>650</v>
          </cell>
          <cell r="DZ235">
            <v>988</v>
          </cell>
          <cell r="ED235">
            <v>950663482.44645607</v>
          </cell>
          <cell r="EF235">
            <v>2.4841318990475345E-2</v>
          </cell>
          <cell r="EH235">
            <v>7.5799673949205462E-2</v>
          </cell>
          <cell r="EJ235">
            <v>0.21454081759020427</v>
          </cell>
          <cell r="EL235">
            <v>0.68481818947011508</v>
          </cell>
          <cell r="EQ235" t="str">
            <v xml:space="preserve">Telefonia móvel </v>
          </cell>
        </row>
        <row r="236">
          <cell r="A236" t="str">
            <v>QUALICORP</v>
          </cell>
          <cell r="C236" t="str">
            <v>NM</v>
          </cell>
          <cell r="F236" t="str">
            <v>FOLLOW-ON</v>
          </cell>
          <cell r="G236" t="str">
            <v>ICVM 400</v>
          </cell>
          <cell r="J236">
            <v>41017</v>
          </cell>
          <cell r="M236" t="str">
            <v>Credit Suisse</v>
          </cell>
          <cell r="W236">
            <v>16.5</v>
          </cell>
          <cell r="X236">
            <v>41016</v>
          </cell>
          <cell r="AO236" t="str">
            <v>-</v>
          </cell>
          <cell r="AP236">
            <v>758544451.5</v>
          </cell>
          <cell r="AQ236">
            <v>758544451.5</v>
          </cell>
          <cell r="BL236">
            <v>731</v>
          </cell>
          <cell r="DZ236">
            <v>1077</v>
          </cell>
          <cell r="ED236">
            <v>405768937.35958064</v>
          </cell>
          <cell r="EF236">
            <v>6.4739987093557952E-2</v>
          </cell>
          <cell r="EH236">
            <v>0.27328648187996141</v>
          </cell>
          <cell r="EJ236">
            <v>0.66053660337135822</v>
          </cell>
          <cell r="EL236">
            <v>1.4369276551223973E-3</v>
          </cell>
          <cell r="EQ236" t="str">
            <v>Serv. Méd. Hospit., Análises e Diagnósticos</v>
          </cell>
        </row>
        <row r="237">
          <cell r="A237" t="str">
            <v>LOCAMERICA</v>
          </cell>
          <cell r="C237" t="str">
            <v>NM</v>
          </cell>
          <cell r="F237" t="str">
            <v>IPO</v>
          </cell>
          <cell r="G237" t="str">
            <v>ICVM 400</v>
          </cell>
          <cell r="J237">
            <v>41022</v>
          </cell>
          <cell r="M237" t="str">
            <v>Itaú BBA</v>
          </cell>
          <cell r="W237">
            <v>9</v>
          </cell>
          <cell r="X237">
            <v>41018</v>
          </cell>
          <cell r="AO237">
            <v>163636362</v>
          </cell>
          <cell r="AP237">
            <v>109343196</v>
          </cell>
          <cell r="AQ237">
            <v>272979558</v>
          </cell>
          <cell r="BL237">
            <v>239</v>
          </cell>
          <cell r="DZ237">
            <v>391</v>
          </cell>
          <cell r="ED237">
            <v>144709265.26717556</v>
          </cell>
          <cell r="EF237">
            <v>4.8338496074748306E-2</v>
          </cell>
          <cell r="EH237">
            <v>0.48627252196232712</v>
          </cell>
          <cell r="EJ237">
            <v>0.4629975861543783</v>
          </cell>
          <cell r="EL237">
            <v>2.3913958085462757E-3</v>
          </cell>
          <cell r="EQ237" t="str">
            <v>Aluguel de carros</v>
          </cell>
        </row>
        <row r="238">
          <cell r="A238" t="str">
            <v>FIBRIA</v>
          </cell>
          <cell r="C238" t="str">
            <v>NM</v>
          </cell>
          <cell r="F238" t="str">
            <v>FOLLOW-ON</v>
          </cell>
          <cell r="G238" t="str">
            <v>ICVM 400</v>
          </cell>
          <cell r="J238">
            <v>41024</v>
          </cell>
          <cell r="M238" t="str">
            <v>Itaú BBA</v>
          </cell>
          <cell r="W238">
            <v>15.83</v>
          </cell>
          <cell r="X238">
            <v>41023</v>
          </cell>
          <cell r="AO238">
            <v>1361380000</v>
          </cell>
          <cell r="AP238">
            <v>0</v>
          </cell>
          <cell r="AQ238">
            <v>1361380000</v>
          </cell>
          <cell r="BL238">
            <v>847</v>
          </cell>
          <cell r="DZ238">
            <v>949</v>
          </cell>
          <cell r="ED238">
            <v>723868772.26564574</v>
          </cell>
          <cell r="EF238">
            <v>3.4337870507847944E-2</v>
          </cell>
          <cell r="EH238">
            <v>5.6549866989433657E-2</v>
          </cell>
          <cell r="EJ238">
            <v>0.32254015163034122</v>
          </cell>
          <cell r="EL238">
            <v>0.58657211087237715</v>
          </cell>
          <cell r="EQ238" t="str">
            <v>Papel e Celulose</v>
          </cell>
        </row>
        <row r="239">
          <cell r="A239" t="str">
            <v>BTG PACTUAL</v>
          </cell>
          <cell r="C239" t="str">
            <v>BÁSICO</v>
          </cell>
          <cell r="F239" t="str">
            <v>IPO</v>
          </cell>
          <cell r="G239" t="str">
            <v>ICVM 400</v>
          </cell>
          <cell r="J239">
            <v>41025</v>
          </cell>
          <cell r="M239" t="str">
            <v>BTG Pactual</v>
          </cell>
          <cell r="W239">
            <v>31.25</v>
          </cell>
          <cell r="X239">
            <v>41023</v>
          </cell>
          <cell r="AO239">
            <v>2587500000</v>
          </cell>
          <cell r="AP239">
            <v>646875000</v>
          </cell>
          <cell r="AQ239">
            <v>3234375000</v>
          </cell>
          <cell r="BL239">
            <v>6122</v>
          </cell>
          <cell r="DZ239">
            <v>7221</v>
          </cell>
          <cell r="ED239">
            <v>1713939377.8814054</v>
          </cell>
          <cell r="EF239">
            <v>9.7693487179487185E-2</v>
          </cell>
          <cell r="EH239">
            <v>0.14050422222222222</v>
          </cell>
          <cell r="EJ239">
            <v>0.67565964957264957</v>
          </cell>
          <cell r="EL239">
            <v>8.6142641025641023E-2</v>
          </cell>
          <cell r="EQ239" t="str">
            <v>Bancos</v>
          </cell>
        </row>
        <row r="240">
          <cell r="A240" t="str">
            <v>UNICASA</v>
          </cell>
          <cell r="C240" t="str">
            <v>NM</v>
          </cell>
          <cell r="F240" t="str">
            <v>IPO</v>
          </cell>
          <cell r="G240" t="str">
            <v>ICVM 400</v>
          </cell>
          <cell r="J240">
            <v>41026</v>
          </cell>
          <cell r="M240" t="str">
            <v>BTG Pactual</v>
          </cell>
          <cell r="W240">
            <v>14</v>
          </cell>
          <cell r="X240">
            <v>41024</v>
          </cell>
          <cell r="AO240">
            <v>127909096</v>
          </cell>
          <cell r="AP240">
            <v>297687082</v>
          </cell>
          <cell r="AQ240">
            <v>425596178</v>
          </cell>
          <cell r="BL240">
            <v>774</v>
          </cell>
          <cell r="DZ240">
            <v>1040</v>
          </cell>
          <cell r="ED240">
            <v>225756512.83683428</v>
          </cell>
          <cell r="EF240">
            <v>3.8061361537884864E-2</v>
          </cell>
          <cell r="EH240">
            <v>0.50769130262255313</v>
          </cell>
          <cell r="EJ240">
            <v>0.45133494126443963</v>
          </cell>
          <cell r="EL240">
            <v>2.9123945751223356E-3</v>
          </cell>
          <cell r="EQ240" t="str">
            <v xml:space="preserve">Móveis </v>
          </cell>
        </row>
        <row r="241">
          <cell r="A241" t="str">
            <v>BR PHARMA</v>
          </cell>
          <cell r="C241" t="str">
            <v>NM</v>
          </cell>
          <cell r="F241" t="str">
            <v>FOLLOW-ON</v>
          </cell>
          <cell r="G241" t="str">
            <v>ICVM 400</v>
          </cell>
          <cell r="J241">
            <v>41085</v>
          </cell>
          <cell r="M241" t="str">
            <v>BTG Pactual</v>
          </cell>
          <cell r="W241">
            <v>9.25</v>
          </cell>
          <cell r="X241">
            <v>41081</v>
          </cell>
          <cell r="AO241">
            <v>488400000</v>
          </cell>
          <cell r="AP241">
            <v>64750000</v>
          </cell>
          <cell r="AQ241">
            <v>553150000</v>
          </cell>
          <cell r="BL241">
            <v>18</v>
          </cell>
          <cell r="DZ241">
            <v>384</v>
          </cell>
          <cell r="ED241">
            <v>266990056.95530456</v>
          </cell>
          <cell r="EF241">
            <v>3.278344481605351E-3</v>
          </cell>
          <cell r="EH241">
            <v>0.32102429765886287</v>
          </cell>
          <cell r="EJ241">
            <v>0.44901657190635452</v>
          </cell>
          <cell r="EL241">
            <v>0.22668078595317726</v>
          </cell>
          <cell r="EQ241" t="str">
            <v>Medicamento</v>
          </cell>
        </row>
        <row r="242">
          <cell r="A242" t="str">
            <v>SUZANO PAPEL</v>
          </cell>
          <cell r="C242" t="str">
            <v>N1</v>
          </cell>
          <cell r="F242" t="str">
            <v>FOLLOW-ON</v>
          </cell>
          <cell r="G242" t="str">
            <v>ICVM 400</v>
          </cell>
          <cell r="J242">
            <v>41089</v>
          </cell>
          <cell r="M242" t="str">
            <v>BTG Pactual</v>
          </cell>
          <cell r="W242">
            <v>4</v>
          </cell>
          <cell r="X242">
            <v>41087</v>
          </cell>
          <cell r="AO242">
            <v>1463368856</v>
          </cell>
          <cell r="AP242">
            <v>0</v>
          </cell>
          <cell r="AQ242">
            <v>1463368856</v>
          </cell>
          <cell r="BL242">
            <v>281</v>
          </cell>
          <cell r="DZ242">
            <v>484</v>
          </cell>
          <cell r="ED242">
            <v>723974103.79458761</v>
          </cell>
          <cell r="EF242">
            <v>0.12004917147788391</v>
          </cell>
          <cell r="EH242">
            <v>0.15703294961631589</v>
          </cell>
          <cell r="EJ242">
            <v>9.8991528099804299E-2</v>
          </cell>
          <cell r="EL242">
            <v>0.6239263508059959</v>
          </cell>
          <cell r="EQ242" t="str">
            <v>Papel e Celulose</v>
          </cell>
        </row>
        <row r="243">
          <cell r="A243" t="str">
            <v>TAESA</v>
          </cell>
          <cell r="C243" t="str">
            <v>N2</v>
          </cell>
          <cell r="F243" t="str">
            <v>FOLLOW-ON</v>
          </cell>
          <cell r="G243" t="str">
            <v>ICVM 400</v>
          </cell>
          <cell r="J243">
            <v>41110</v>
          </cell>
          <cell r="M243" t="str">
            <v>BTG Pactual</v>
          </cell>
          <cell r="W243">
            <v>65</v>
          </cell>
          <cell r="X243">
            <v>41109</v>
          </cell>
          <cell r="AO243">
            <v>1755000000</v>
          </cell>
          <cell r="AP243">
            <v>0</v>
          </cell>
          <cell r="AQ243">
            <v>1755000000</v>
          </cell>
          <cell r="BL243">
            <v>1547</v>
          </cell>
          <cell r="DZ243">
            <v>2184</v>
          </cell>
          <cell r="ED243">
            <v>867652148.11885107</v>
          </cell>
          <cell r="EF243">
            <v>3.8474296296296298E-2</v>
          </cell>
          <cell r="EH243">
            <v>0.3166977777777778</v>
          </cell>
          <cell r="EJ243">
            <v>0.54748325925925923</v>
          </cell>
          <cell r="EL243">
            <v>9.7344666666666663E-2</v>
          </cell>
          <cell r="EQ243" t="str">
            <v>Energia Elétrica</v>
          </cell>
        </row>
        <row r="244">
          <cell r="A244" t="str">
            <v>MINERVA</v>
          </cell>
          <cell r="C244" t="str">
            <v>NM</v>
          </cell>
          <cell r="F244" t="str">
            <v>FOLLOW-ON</v>
          </cell>
          <cell r="G244" t="str">
            <v>ICVM 400</v>
          </cell>
          <cell r="J244">
            <v>41243</v>
          </cell>
          <cell r="M244" t="str">
            <v>BTG Pactual</v>
          </cell>
          <cell r="W244">
            <v>11</v>
          </cell>
          <cell r="X244">
            <v>41241</v>
          </cell>
          <cell r="AO244">
            <v>415391900</v>
          </cell>
          <cell r="AP244">
            <v>82500000</v>
          </cell>
          <cell r="AQ244">
            <v>497891900</v>
          </cell>
          <cell r="BL244">
            <v>1142</v>
          </cell>
          <cell r="DZ244">
            <v>1483</v>
          </cell>
          <cell r="ED244">
            <v>236258849.76748598</v>
          </cell>
          <cell r="EF244">
            <v>9.5067259259259254E-2</v>
          </cell>
          <cell r="EH244">
            <v>0.41931348148148151</v>
          </cell>
          <cell r="EJ244">
            <v>0.43512325925925927</v>
          </cell>
          <cell r="EL244">
            <v>5.0495999999999999E-2</v>
          </cell>
          <cell r="EQ244" t="str">
            <v>Carnes e Derivados</v>
          </cell>
        </row>
        <row r="245">
          <cell r="A245" t="str">
            <v>MARFRIG</v>
          </cell>
          <cell r="C245" t="str">
            <v>NM</v>
          </cell>
          <cell r="F245" t="str">
            <v>FOLLOW-ON</v>
          </cell>
          <cell r="G245" t="str">
            <v>ICVM 400</v>
          </cell>
          <cell r="J245">
            <v>41249</v>
          </cell>
          <cell r="M245" t="str">
            <v>Itaú BBA</v>
          </cell>
          <cell r="W245">
            <v>8</v>
          </cell>
          <cell r="X245">
            <v>41247</v>
          </cell>
          <cell r="AO245">
            <v>1050000000.0000001</v>
          </cell>
          <cell r="AP245">
            <v>0</v>
          </cell>
          <cell r="AQ245">
            <v>1050000000.0000001</v>
          </cell>
          <cell r="BL245">
            <v>2439</v>
          </cell>
          <cell r="DZ245">
            <v>2881</v>
          </cell>
          <cell r="ED245">
            <v>503935496.2564792</v>
          </cell>
          <cell r="EF245">
            <v>3.1339489523809522E-2</v>
          </cell>
          <cell r="EH245">
            <v>0.25312121142857141</v>
          </cell>
          <cell r="EJ245">
            <v>0.53749121523809529</v>
          </cell>
          <cell r="EL245">
            <v>0.1780480838095238</v>
          </cell>
          <cell r="EQ245" t="str">
            <v>Carnes e Derivados</v>
          </cell>
        </row>
        <row r="246">
          <cell r="A246" t="str">
            <v>EQUATORIAL</v>
          </cell>
          <cell r="C246" t="str">
            <v>NM</v>
          </cell>
          <cell r="F246" t="str">
            <v>FOLLOW-ON</v>
          </cell>
          <cell r="G246" t="str">
            <v>ICVM 400</v>
          </cell>
          <cell r="J246">
            <v>41253</v>
          </cell>
          <cell r="M246" t="str">
            <v>BTG Pactual</v>
          </cell>
          <cell r="W246">
            <v>16</v>
          </cell>
          <cell r="X246">
            <v>41250</v>
          </cell>
          <cell r="AO246">
            <v>1210113984</v>
          </cell>
          <cell r="AP246">
            <v>210454608</v>
          </cell>
          <cell r="AQ246">
            <v>1420568592</v>
          </cell>
          <cell r="BL246">
            <v>3146</v>
          </cell>
          <cell r="DZ246">
            <v>3554</v>
          </cell>
          <cell r="ED246">
            <v>682637478.13551176</v>
          </cell>
          <cell r="EF246">
            <v>6.7058207915102211E-2</v>
          </cell>
          <cell r="EH246">
            <v>0.51489046014330009</v>
          </cell>
          <cell r="EJ246">
            <v>0.41591203080745009</v>
          </cell>
          <cell r="EL246">
            <v>4.2392602750152874E-3</v>
          </cell>
          <cell r="EQ246" t="str">
            <v>Energia Elétrica</v>
          </cell>
        </row>
        <row r="247">
          <cell r="A247" t="str">
            <v>ALIANSCE</v>
          </cell>
          <cell r="C247" t="str">
            <v>NM</v>
          </cell>
          <cell r="F247" t="str">
            <v>FOLLOW-ON</v>
          </cell>
          <cell r="G247" t="str">
            <v>ICVM 400</v>
          </cell>
          <cell r="J247">
            <v>41257</v>
          </cell>
          <cell r="M247" t="str">
            <v>Itaú BBA</v>
          </cell>
          <cell r="W247">
            <v>23.25</v>
          </cell>
          <cell r="X247">
            <v>41255</v>
          </cell>
          <cell r="AO247">
            <v>447629692.5</v>
          </cell>
          <cell r="AP247">
            <v>0</v>
          </cell>
          <cell r="AQ247">
            <v>447629692.5</v>
          </cell>
          <cell r="BL247">
            <v>3613</v>
          </cell>
          <cell r="DZ247">
            <v>3998</v>
          </cell>
          <cell r="ED247">
            <v>214793518.47408828</v>
          </cell>
          <cell r="EF247">
            <v>0.10899973977932663</v>
          </cell>
          <cell r="EH247">
            <v>0.36462598602079999</v>
          </cell>
          <cell r="EJ247">
            <v>0.52315101784719076</v>
          </cell>
          <cell r="EL247">
            <v>3.2232563526826364E-3</v>
          </cell>
          <cell r="EQ247" t="str">
            <v xml:space="preserve">Exploração de Imóveis </v>
          </cell>
        </row>
        <row r="248">
          <cell r="A248" t="str">
            <v>ESTACIO PART</v>
          </cell>
          <cell r="C248" t="str">
            <v>NM</v>
          </cell>
          <cell r="F248" t="str">
            <v>FOLLOW-ON</v>
          </cell>
          <cell r="G248" t="str">
            <v>ICVM 400</v>
          </cell>
          <cell r="J248">
            <v>41302</v>
          </cell>
          <cell r="M248" t="str">
            <v>Credit Suisse</v>
          </cell>
          <cell r="W248">
            <v>42</v>
          </cell>
          <cell r="X248">
            <v>41297</v>
          </cell>
          <cell r="AO248">
            <v>616858200</v>
          </cell>
          <cell r="AP248">
            <v>151826346</v>
          </cell>
          <cell r="AQ248">
            <v>768684546</v>
          </cell>
          <cell r="BL248">
            <v>6213</v>
          </cell>
          <cell r="DZ248">
            <v>6708</v>
          </cell>
          <cell r="ED248">
            <v>379766091.59626502</v>
          </cell>
          <cell r="EF248">
            <v>0.10314023927313351</v>
          </cell>
          <cell r="EH248">
            <v>0.34422896541489728</v>
          </cell>
          <cell r="EJ248">
            <v>0.55040502921727785</v>
          </cell>
          <cell r="EL248">
            <v>2.2257660946913326E-3</v>
          </cell>
          <cell r="EQ248" t="str">
            <v>Serviços Educacionais</v>
          </cell>
        </row>
        <row r="249">
          <cell r="A249" t="str">
            <v>LINX</v>
          </cell>
          <cell r="C249" t="str">
            <v>NM</v>
          </cell>
          <cell r="F249" t="str">
            <v>IPO</v>
          </cell>
          <cell r="G249" t="str">
            <v>ICVM 400</v>
          </cell>
          <cell r="J249">
            <v>41313</v>
          </cell>
          <cell r="M249" t="str">
            <v>Credit Suisse</v>
          </cell>
          <cell r="W249">
            <v>27</v>
          </cell>
          <cell r="X249">
            <v>41311</v>
          </cell>
          <cell r="AO249">
            <v>343102500</v>
          </cell>
          <cell r="AP249">
            <v>184747500</v>
          </cell>
          <cell r="AQ249">
            <v>527850000</v>
          </cell>
          <cell r="BL249">
            <v>6247</v>
          </cell>
          <cell r="DZ249">
            <v>6923</v>
          </cell>
          <cell r="ED249">
            <v>268817478.10144633</v>
          </cell>
          <cell r="EF249">
            <v>0.11018925831202046</v>
          </cell>
          <cell r="EH249">
            <v>0.26624680306905368</v>
          </cell>
          <cell r="EJ249">
            <v>0.6218769309462916</v>
          </cell>
          <cell r="EL249">
            <v>1.6870076726342711E-3</v>
          </cell>
          <cell r="EQ249" t="str">
            <v>Programas e Serviços</v>
          </cell>
        </row>
        <row r="250">
          <cell r="A250" t="str">
            <v>SENIOR SOL</v>
          </cell>
          <cell r="C250" t="str">
            <v>MA</v>
          </cell>
          <cell r="F250" t="str">
            <v>IPO</v>
          </cell>
          <cell r="G250" t="str">
            <v>ICVM 400</v>
          </cell>
          <cell r="J250">
            <v>41341</v>
          </cell>
          <cell r="M250" t="str">
            <v>Banco Votorantim</v>
          </cell>
          <cell r="W250">
            <v>11.5</v>
          </cell>
          <cell r="X250">
            <v>41339</v>
          </cell>
          <cell r="AO250">
            <v>39655162.5</v>
          </cell>
          <cell r="AP250">
            <v>17806830</v>
          </cell>
          <cell r="AQ250">
            <v>57461992.5</v>
          </cell>
          <cell r="BL250">
            <v>1221</v>
          </cell>
          <cell r="DZ250">
            <v>1318</v>
          </cell>
          <cell r="ED250">
            <v>29425436.552642357</v>
          </cell>
          <cell r="EF250">
            <v>0.31035520386469501</v>
          </cell>
          <cell r="EH250">
            <v>0.45096289090133984</v>
          </cell>
          <cell r="EJ250">
            <v>0.13112350064131076</v>
          </cell>
          <cell r="EL250">
            <v>0.10755840459265438</v>
          </cell>
          <cell r="EQ250" t="str">
            <v>Programas e Serviços</v>
          </cell>
        </row>
        <row r="251">
          <cell r="A251" t="str">
            <v>MULTIPLAN</v>
          </cell>
          <cell r="C251" t="str">
            <v>N2</v>
          </cell>
          <cell r="F251" t="str">
            <v>FOLLOW-ON</v>
          </cell>
          <cell r="G251" t="str">
            <v>ICVM 400</v>
          </cell>
          <cell r="J251">
            <v>41365</v>
          </cell>
          <cell r="M251" t="str">
            <v>Credit Suisse</v>
          </cell>
          <cell r="W251">
            <v>58</v>
          </cell>
          <cell r="X251">
            <v>41360</v>
          </cell>
          <cell r="AO251">
            <v>626400000</v>
          </cell>
          <cell r="AP251">
            <v>0</v>
          </cell>
          <cell r="AQ251">
            <v>626400000</v>
          </cell>
          <cell r="BL251">
            <v>8158</v>
          </cell>
          <cell r="DZ251">
            <v>8887</v>
          </cell>
          <cell r="ED251">
            <v>310314079.06469828</v>
          </cell>
          <cell r="EF251">
            <v>0.10256872427983539</v>
          </cell>
          <cell r="EH251">
            <v>0.24916090534979424</v>
          </cell>
          <cell r="EJ251">
            <v>0.50307950617283947</v>
          </cell>
          <cell r="EL251">
            <v>0.14519086419753086</v>
          </cell>
          <cell r="EQ251" t="str">
            <v>Exploração de Imóveis</v>
          </cell>
        </row>
        <row r="252">
          <cell r="A252" t="str">
            <v>BIOSEV</v>
          </cell>
          <cell r="C252" t="str">
            <v>NM</v>
          </cell>
          <cell r="F252" t="str">
            <v>IPO</v>
          </cell>
          <cell r="G252" t="str">
            <v>ICVM 400</v>
          </cell>
          <cell r="J252">
            <v>41383</v>
          </cell>
          <cell r="M252" t="str">
            <v>BTG Pactual</v>
          </cell>
          <cell r="W252">
            <v>15</v>
          </cell>
          <cell r="X252">
            <v>41379</v>
          </cell>
          <cell r="AO252">
            <v>700000005</v>
          </cell>
          <cell r="AP252">
            <v>0</v>
          </cell>
          <cell r="AQ252">
            <v>700000005</v>
          </cell>
          <cell r="BL252">
            <v>890</v>
          </cell>
          <cell r="DZ252">
            <v>961</v>
          </cell>
          <cell r="ED252">
            <v>348449402.65817112</v>
          </cell>
          <cell r="EF252">
            <v>2.086973870768085E-2</v>
          </cell>
          <cell r="EH252">
            <v>0.21189738606233138</v>
          </cell>
          <cell r="EJ252">
            <v>0.76653719754712113</v>
          </cell>
          <cell r="EL252">
            <v>6.9567768286663337E-4</v>
          </cell>
          <cell r="EQ252" t="str">
            <v>Açúcar e Álcool</v>
          </cell>
        </row>
        <row r="253">
          <cell r="A253" t="str">
            <v>BHG</v>
          </cell>
          <cell r="C253" t="str">
            <v>NM</v>
          </cell>
          <cell r="F253" t="str">
            <v>FOLLOW-ON</v>
          </cell>
          <cell r="G253" t="str">
            <v>ICVM 400</v>
          </cell>
          <cell r="J253">
            <v>41386</v>
          </cell>
          <cell r="M253" t="str">
            <v>Itaú BBA</v>
          </cell>
          <cell r="W253">
            <v>17.5</v>
          </cell>
          <cell r="X253">
            <v>41382</v>
          </cell>
          <cell r="AO253">
            <v>355490520</v>
          </cell>
          <cell r="AP253">
            <v>0</v>
          </cell>
          <cell r="AQ253">
            <v>355490520</v>
          </cell>
          <cell r="BL253">
            <v>3776</v>
          </cell>
          <cell r="DZ253">
            <v>3963</v>
          </cell>
          <cell r="ED253">
            <v>176387079.48794284</v>
          </cell>
          <cell r="EF253">
            <v>0.19179686986311137</v>
          </cell>
          <cell r="EH253">
            <v>0.20063567535169541</v>
          </cell>
          <cell r="EJ253">
            <v>0.59189922099416914</v>
          </cell>
          <cell r="EL253">
            <v>1.5668233791024031E-2</v>
          </cell>
          <cell r="EQ253" t="str">
            <v>Hotelaria</v>
          </cell>
        </row>
        <row r="254">
          <cell r="A254" t="str">
            <v>ALUPAR</v>
          </cell>
          <cell r="C254" t="str">
            <v>N2</v>
          </cell>
          <cell r="F254" t="str">
            <v>IPO</v>
          </cell>
          <cell r="G254" t="str">
            <v>ICVM 400</v>
          </cell>
          <cell r="J254">
            <v>41388</v>
          </cell>
          <cell r="M254" t="str">
            <v>Itaú BBA</v>
          </cell>
          <cell r="W254">
            <v>18.5</v>
          </cell>
          <cell r="X254">
            <v>41386</v>
          </cell>
          <cell r="AO254">
            <v>821226100</v>
          </cell>
          <cell r="AP254">
            <v>0</v>
          </cell>
          <cell r="AQ254">
            <v>821226100</v>
          </cell>
          <cell r="BL254">
            <v>4935</v>
          </cell>
          <cell r="DZ254">
            <v>5310</v>
          </cell>
          <cell r="ED254">
            <v>405663949.81229007</v>
          </cell>
          <cell r="EF254">
            <v>0.14884397826086956</v>
          </cell>
          <cell r="EH254">
            <v>0.29556986956521741</v>
          </cell>
          <cell r="EJ254">
            <v>0.54857250000000002</v>
          </cell>
          <cell r="EL254">
            <v>7.0136521739130432E-3</v>
          </cell>
          <cell r="EQ254" t="str">
            <v>Energia Elétrica</v>
          </cell>
        </row>
        <row r="255">
          <cell r="A255" t="str">
            <v>ABRIL EDUCA</v>
          </cell>
          <cell r="C255" t="str">
            <v>N2</v>
          </cell>
          <cell r="F255" t="str">
            <v>FOLLOW-ON</v>
          </cell>
          <cell r="G255" t="str">
            <v>ICVM 400</v>
          </cell>
          <cell r="J255">
            <v>41390</v>
          </cell>
          <cell r="M255" t="str">
            <v>Itaú BBA</v>
          </cell>
          <cell r="W255">
            <v>45</v>
          </cell>
          <cell r="X255">
            <v>41388</v>
          </cell>
          <cell r="AO255">
            <v>126673920</v>
          </cell>
          <cell r="AP255">
            <v>395222535</v>
          </cell>
          <cell r="AQ255">
            <v>521896455</v>
          </cell>
          <cell r="BL255">
            <v>3026</v>
          </cell>
          <cell r="DZ255">
            <v>3269</v>
          </cell>
          <cell r="ED255">
            <v>259404769.12371394</v>
          </cell>
          <cell r="EF255">
            <v>0.12328643514176947</v>
          </cell>
          <cell r="EH255">
            <v>0.29670598176568308</v>
          </cell>
          <cell r="EJ255">
            <v>0.54130798585114526</v>
          </cell>
          <cell r="EL255">
            <v>3.8699597241402213E-2</v>
          </cell>
          <cell r="EQ255" t="str">
            <v xml:space="preserve">Jornais, Livros e Revistas </v>
          </cell>
        </row>
        <row r="256">
          <cell r="A256" t="str">
            <v>BB SEGURIDADE</v>
          </cell>
          <cell r="C256" t="str">
            <v>NM</v>
          </cell>
          <cell r="F256" t="str">
            <v>IPO</v>
          </cell>
          <cell r="G256" t="str">
            <v>ICVM 400</v>
          </cell>
          <cell r="J256">
            <v>41393</v>
          </cell>
          <cell r="M256" t="str">
            <v>BB Investimentos</v>
          </cell>
          <cell r="W256">
            <v>17</v>
          </cell>
          <cell r="X256">
            <v>41389</v>
          </cell>
          <cell r="AO256">
            <v>0</v>
          </cell>
          <cell r="AP256">
            <v>11475000000</v>
          </cell>
          <cell r="AQ256">
            <v>11475000000</v>
          </cell>
          <cell r="BL256">
            <v>103359</v>
          </cell>
          <cell r="DZ256">
            <v>114335</v>
          </cell>
          <cell r="ED256">
            <v>5737786889.3444672</v>
          </cell>
          <cell r="EF256">
            <v>0.16073981925925926</v>
          </cell>
          <cell r="EH256">
            <v>0.23057455851851852</v>
          </cell>
          <cell r="EJ256">
            <v>0.58362914222222217</v>
          </cell>
          <cell r="EL256">
            <v>2.5056479999999999E-2</v>
          </cell>
          <cell r="EQ256" t="str">
            <v>Seguradoras</v>
          </cell>
        </row>
        <row r="257">
          <cell r="A257" t="str">
            <v>SMILES</v>
          </cell>
          <cell r="C257" t="str">
            <v>NM</v>
          </cell>
          <cell r="F257" t="str">
            <v>IPO</v>
          </cell>
          <cell r="G257" t="str">
            <v>ICVM 400</v>
          </cell>
          <cell r="J257">
            <v>41393</v>
          </cell>
          <cell r="M257" t="str">
            <v>Credit Suisse</v>
          </cell>
          <cell r="W257">
            <v>21.7</v>
          </cell>
          <cell r="X257">
            <v>41389</v>
          </cell>
          <cell r="AO257">
            <v>1132173890.3999999</v>
          </cell>
          <cell r="AP257">
            <v>0</v>
          </cell>
          <cell r="AQ257">
            <v>1132173890.3999999</v>
          </cell>
          <cell r="BL257">
            <v>3655</v>
          </cell>
          <cell r="DZ257">
            <v>4096</v>
          </cell>
          <cell r="ED257">
            <v>566115250.96254802</v>
          </cell>
          <cell r="EF257">
            <v>9.4462631055919288E-2</v>
          </cell>
          <cell r="EH257">
            <v>0.14487493289749867</v>
          </cell>
          <cell r="EJ257">
            <v>0.40182225553644513</v>
          </cell>
          <cell r="EL257">
            <v>0.358840180510137</v>
          </cell>
          <cell r="EQ257" t="str">
            <v xml:space="preserve">Programas de Fidelização </v>
          </cell>
        </row>
        <row r="258">
          <cell r="A258" t="str">
            <v>IGUATEMI</v>
          </cell>
          <cell r="C258" t="str">
            <v>NM</v>
          </cell>
          <cell r="F258" t="str">
            <v>FOLLOW-ON</v>
          </cell>
          <cell r="G258" t="str">
            <v>ICVM 400</v>
          </cell>
          <cell r="J258">
            <v>41431</v>
          </cell>
          <cell r="M258" t="str">
            <v>Itaú BBA</v>
          </cell>
          <cell r="W258">
            <v>23.5</v>
          </cell>
          <cell r="X258">
            <v>41429</v>
          </cell>
          <cell r="AO258">
            <v>425364100</v>
          </cell>
          <cell r="AP258">
            <v>0</v>
          </cell>
          <cell r="AQ258">
            <v>425364100</v>
          </cell>
          <cell r="BL258">
            <v>1892</v>
          </cell>
          <cell r="DZ258">
            <v>2082</v>
          </cell>
          <cell r="ED258">
            <v>200171341.17647058</v>
          </cell>
          <cell r="EF258">
            <v>9.7606521739130439E-2</v>
          </cell>
          <cell r="EH258">
            <v>0.21499217391304348</v>
          </cell>
          <cell r="EJ258">
            <v>0.57553108695652178</v>
          </cell>
          <cell r="EL258">
            <v>0.11187021739130434</v>
          </cell>
          <cell r="EQ258" t="str">
            <v>Exploração de Imóveis</v>
          </cell>
        </row>
        <row r="259">
          <cell r="A259" t="str">
            <v>CPFL RENOVAV</v>
          </cell>
          <cell r="C259" t="str">
            <v>NM</v>
          </cell>
          <cell r="F259" t="str">
            <v>IPO</v>
          </cell>
          <cell r="G259" t="str">
            <v>ICVM 400</v>
          </cell>
          <cell r="J259">
            <v>41474</v>
          </cell>
          <cell r="M259" t="str">
            <v>BofA Merrill Lynch</v>
          </cell>
          <cell r="W259">
            <v>12.51</v>
          </cell>
          <cell r="X259">
            <v>41472</v>
          </cell>
          <cell r="AO259">
            <v>364687304.13</v>
          </cell>
          <cell r="AP259">
            <v>549999998.27999997</v>
          </cell>
          <cell r="AQ259">
            <v>914687302.40999997</v>
          </cell>
          <cell r="BL259">
            <v>1260</v>
          </cell>
          <cell r="DZ259">
            <v>1321</v>
          </cell>
          <cell r="ED259">
            <v>408999866.93346447</v>
          </cell>
          <cell r="EF259">
            <v>2.6374806171279609E-2</v>
          </cell>
          <cell r="EH259">
            <v>0.4484682432779265</v>
          </cell>
          <cell r="EJ259">
            <v>0.24915857438532565</v>
          </cell>
          <cell r="EL259">
            <v>0.27599837616546824</v>
          </cell>
          <cell r="EQ259" t="str">
            <v>Energia Elétrica</v>
          </cell>
        </row>
        <row r="260">
          <cell r="A260" t="str">
            <v>TUPY</v>
          </cell>
          <cell r="C260" t="str">
            <v>NM</v>
          </cell>
          <cell r="F260" t="str">
            <v>FOLLOW-ON</v>
          </cell>
          <cell r="G260" t="str">
            <v>ICVM 400</v>
          </cell>
          <cell r="J260">
            <v>41565</v>
          </cell>
          <cell r="M260" t="str">
            <v>Citi</v>
          </cell>
          <cell r="W260">
            <v>17.5</v>
          </cell>
          <cell r="X260">
            <v>41563</v>
          </cell>
          <cell r="AO260">
            <v>523250000</v>
          </cell>
          <cell r="AP260">
            <v>0</v>
          </cell>
          <cell r="AQ260">
            <v>523250000</v>
          </cell>
          <cell r="BL260">
            <v>322</v>
          </cell>
          <cell r="DZ260">
            <v>517</v>
          </cell>
          <cell r="ED260">
            <v>242245370.37037036</v>
          </cell>
          <cell r="EF260">
            <v>5.6367892976588632E-2</v>
          </cell>
          <cell r="EH260">
            <v>0.39699441471571906</v>
          </cell>
          <cell r="EJ260">
            <v>0.54663197324414714</v>
          </cell>
          <cell r="EL260">
            <v>5.7190635451505019E-6</v>
          </cell>
          <cell r="EQ260" t="str">
            <v>Material Rodoviário</v>
          </cell>
        </row>
        <row r="261">
          <cell r="A261" t="str">
            <v>ANIMA</v>
          </cell>
          <cell r="C261" t="str">
            <v>NM</v>
          </cell>
          <cell r="F261" t="str">
            <v>IPO</v>
          </cell>
          <cell r="G261" t="str">
            <v>ICVM 400</v>
          </cell>
          <cell r="J261">
            <v>41575</v>
          </cell>
          <cell r="M261" t="str">
            <v>Itaú BBA</v>
          </cell>
          <cell r="W261">
            <v>18.5</v>
          </cell>
          <cell r="X261">
            <v>41571</v>
          </cell>
          <cell r="AO261">
            <v>426020571.5</v>
          </cell>
          <cell r="AP261">
            <v>78036348.5</v>
          </cell>
          <cell r="AQ261">
            <v>504056920</v>
          </cell>
          <cell r="BL261">
            <v>1218</v>
          </cell>
          <cell r="DZ261">
            <v>1487</v>
          </cell>
          <cell r="ED261">
            <v>231218770.64220181</v>
          </cell>
          <cell r="EF261">
            <v>8.5953662733169109E-2</v>
          </cell>
          <cell r="EH261">
            <v>0.40012687951987647</v>
          </cell>
          <cell r="EJ261">
            <v>0.50890766165852852</v>
          </cell>
          <cell r="EL261">
            <v>5.0117960884258862E-3</v>
          </cell>
          <cell r="EQ261" t="str">
            <v>Serviços Educacionais</v>
          </cell>
        </row>
        <row r="262">
          <cell r="A262" t="str">
            <v>SER EDUCA</v>
          </cell>
          <cell r="C262" t="str">
            <v>NM</v>
          </cell>
          <cell r="F262" t="str">
            <v>IPO</v>
          </cell>
          <cell r="G262" t="str">
            <v>ICVM 400</v>
          </cell>
          <cell r="J262">
            <v>41576</v>
          </cell>
          <cell r="M262" t="str">
            <v>BTG Pactual</v>
          </cell>
          <cell r="W262">
            <v>17.5</v>
          </cell>
          <cell r="X262">
            <v>41572</v>
          </cell>
          <cell r="AO262">
            <v>309714090</v>
          </cell>
          <cell r="AP262">
            <v>309714090</v>
          </cell>
          <cell r="AQ262">
            <v>619428180</v>
          </cell>
          <cell r="BL262">
            <v>1059</v>
          </cell>
          <cell r="DZ262">
            <v>1311</v>
          </cell>
          <cell r="ED262">
            <v>284141366.97247702</v>
          </cell>
          <cell r="EF262">
            <v>2.6359637851800673E-2</v>
          </cell>
          <cell r="EH262">
            <v>0.39001973562132741</v>
          </cell>
          <cell r="EJ262">
            <v>0.58313740666432068</v>
          </cell>
          <cell r="EL262">
            <v>4.8321986255129689E-4</v>
          </cell>
          <cell r="EQ262" t="str">
            <v>Serviços Educacionais</v>
          </cell>
        </row>
        <row r="263">
          <cell r="A263" t="str">
            <v>CVC BRASIL</v>
          </cell>
          <cell r="C263" t="str">
            <v>NM</v>
          </cell>
          <cell r="F263" t="str">
            <v>IPO</v>
          </cell>
          <cell r="G263" t="str">
            <v>ICVM 400</v>
          </cell>
          <cell r="J263">
            <v>41617</v>
          </cell>
          <cell r="M263" t="str">
            <v>Itaú BBA</v>
          </cell>
          <cell r="W263">
            <v>16</v>
          </cell>
          <cell r="X263">
            <v>41613</v>
          </cell>
          <cell r="AO263">
            <v>0</v>
          </cell>
          <cell r="AP263">
            <v>541465600</v>
          </cell>
          <cell r="AQ263">
            <v>541465600</v>
          </cell>
          <cell r="BL263">
            <v>2316</v>
          </cell>
          <cell r="DZ263">
            <v>2540</v>
          </cell>
          <cell r="ED263">
            <v>233390344.82758623</v>
          </cell>
          <cell r="EF263">
            <v>8.8896541062801926E-2</v>
          </cell>
          <cell r="EH263">
            <v>0.42276189371980677</v>
          </cell>
          <cell r="EJ263">
            <v>0.48427060869565219</v>
          </cell>
          <cell r="EL263">
            <v>4.0709565217391308E-3</v>
          </cell>
          <cell r="EQ263" t="str">
            <v>Viagens e Turismo</v>
          </cell>
        </row>
        <row r="264">
          <cell r="A264" t="str">
            <v>VIAVAREJO</v>
          </cell>
          <cell r="C264" t="str">
            <v>N2</v>
          </cell>
          <cell r="F264" t="str">
            <v>FOLLOW-ON</v>
          </cell>
          <cell r="G264" t="str">
            <v>ICVM 400</v>
          </cell>
          <cell r="J264">
            <v>41624</v>
          </cell>
          <cell r="M264" t="str">
            <v>Credit Suisse</v>
          </cell>
          <cell r="W264">
            <v>23</v>
          </cell>
          <cell r="X264">
            <v>41620</v>
          </cell>
          <cell r="AO264">
            <v>0</v>
          </cell>
          <cell r="AP264">
            <v>2845030632</v>
          </cell>
          <cell r="AQ264">
            <v>2845030632</v>
          </cell>
          <cell r="BL264">
            <v>1431</v>
          </cell>
          <cell r="DZ264">
            <v>1826</v>
          </cell>
          <cell r="ED264">
            <v>1226306306.8965518</v>
          </cell>
          <cell r="EF264">
            <v>1.0195034342955362E-2</v>
          </cell>
          <cell r="EH264">
            <v>0.24096957772228303</v>
          </cell>
          <cell r="EJ264">
            <v>0.74589074055354498</v>
          </cell>
          <cell r="EL264">
            <v>2.9446473812166675E-3</v>
          </cell>
          <cell r="EQ264" t="str">
            <v>Eletrodomésticos</v>
          </cell>
        </row>
        <row r="265">
          <cell r="A265" t="str">
            <v>OI¹</v>
          </cell>
          <cell r="C265" t="str">
            <v>N1</v>
          </cell>
          <cell r="F265" t="str">
            <v>FOLLOW-ON</v>
          </cell>
          <cell r="G265" t="str">
            <v>ICVM 400</v>
          </cell>
          <cell r="J265">
            <v>41759</v>
          </cell>
          <cell r="M265" t="str">
            <v>BTG Pactual</v>
          </cell>
          <cell r="W265">
            <v>2.0566666666578493</v>
          </cell>
          <cell r="X265">
            <v>41757</v>
          </cell>
          <cell r="AO265">
            <v>13959899998.896816</v>
          </cell>
          <cell r="AP265">
            <v>0</v>
          </cell>
          <cell r="AQ265">
            <v>13959899998.896816</v>
          </cell>
          <cell r="BL265">
            <v>3429</v>
          </cell>
          <cell r="DZ265">
            <v>4369</v>
          </cell>
          <cell r="ED265">
            <v>6243246868.9162855</v>
          </cell>
          <cell r="EF265">
            <v>5.4232472710400203E-3</v>
          </cell>
          <cell r="EH265">
            <v>0.11538216414518598</v>
          </cell>
          <cell r="EJ265">
            <v>0.41461573676835661</v>
          </cell>
          <cell r="EL265">
            <v>0.4645788518154173</v>
          </cell>
          <cell r="EQ265" t="str">
            <v>Telefonia Fixa</v>
          </cell>
        </row>
        <row r="266">
          <cell r="A266" t="str">
            <v>OUROFINO S/A</v>
          </cell>
          <cell r="C266" t="str">
            <v>NM</v>
          </cell>
          <cell r="F266" t="str">
            <v>IPO</v>
          </cell>
          <cell r="G266" t="str">
            <v>ICVM 400</v>
          </cell>
          <cell r="J266">
            <v>41933</v>
          </cell>
          <cell r="M266" t="str">
            <v>JP Morgan</v>
          </cell>
          <cell r="W266">
            <v>27</v>
          </cell>
          <cell r="X266">
            <v>41929</v>
          </cell>
          <cell r="AO266">
            <v>106442289</v>
          </cell>
          <cell r="AP266">
            <v>311538474</v>
          </cell>
          <cell r="AQ266">
            <v>417980763</v>
          </cell>
          <cell r="BL266">
            <v>2570</v>
          </cell>
          <cell r="DZ266">
            <v>2922</v>
          </cell>
          <cell r="ED266">
            <v>168561020.68798646</v>
          </cell>
          <cell r="EF266">
            <v>9.5657651115393552E-2</v>
          </cell>
          <cell r="EH266">
            <v>0.2196801076225606</v>
          </cell>
          <cell r="EJ266">
            <v>0.20086037069605522</v>
          </cell>
          <cell r="EL266">
            <v>0.48380187056599061</v>
          </cell>
          <cell r="EQ266" t="str">
            <v>Medicamentos e Outros Produtos</v>
          </cell>
        </row>
        <row r="267">
          <cell r="A267" t="str">
            <v>TELEF BRASIL¹</v>
          </cell>
          <cell r="C267" t="str">
            <v>BÁSICO</v>
          </cell>
          <cell r="F267" t="str">
            <v>FOLLOW-ON</v>
          </cell>
          <cell r="G267" t="str">
            <v>ICVM 400</v>
          </cell>
          <cell r="J267">
            <v>42123</v>
          </cell>
          <cell r="M267" t="str">
            <v>Itaú BBA</v>
          </cell>
          <cell r="W267">
            <v>44.154045980711359</v>
          </cell>
          <cell r="X267">
            <v>42121</v>
          </cell>
          <cell r="AO267">
            <v>16107285058.799999</v>
          </cell>
          <cell r="AP267">
            <v>0</v>
          </cell>
          <cell r="AQ267">
            <v>16107285058.799999</v>
          </cell>
          <cell r="BL267">
            <v>956</v>
          </cell>
          <cell r="DZ267">
            <v>1850</v>
          </cell>
          <cell r="ED267">
            <v>5483331083.8468084</v>
          </cell>
          <cell r="EF267">
            <v>3.3610785170340197E-3</v>
          </cell>
          <cell r="EH267">
            <v>7.7287472987341191E-2</v>
          </cell>
          <cell r="EJ267">
            <v>0.69706897761544506</v>
          </cell>
          <cell r="EL267">
            <v>0.22228247086776307</v>
          </cell>
          <cell r="EQ267" t="str">
            <v>Telefonia Fixa</v>
          </cell>
        </row>
        <row r="268">
          <cell r="A268" t="str">
            <v>PARCORRETORA</v>
          </cell>
          <cell r="C268" t="str">
            <v>NM</v>
          </cell>
          <cell r="F268" t="str">
            <v>IPO</v>
          </cell>
          <cell r="G268" t="str">
            <v>ICVM 400</v>
          </cell>
          <cell r="J268">
            <v>42160</v>
          </cell>
          <cell r="M268" t="str">
            <v>Bradesco BBI</v>
          </cell>
          <cell r="W268">
            <v>12.33</v>
          </cell>
          <cell r="X268">
            <v>42157</v>
          </cell>
          <cell r="AO268">
            <v>0</v>
          </cell>
          <cell r="AP268">
            <v>602800013.70000005</v>
          </cell>
          <cell r="AQ268">
            <v>602800013.70000005</v>
          </cell>
          <cell r="BL268">
            <v>3693</v>
          </cell>
          <cell r="DZ268">
            <v>4527</v>
          </cell>
          <cell r="ED268">
            <v>190253760.16285825</v>
          </cell>
          <cell r="EF268">
            <v>9.8221415949513266E-2</v>
          </cell>
          <cell r="EH268">
            <v>0.37409806195231671</v>
          </cell>
          <cell r="EJ268">
            <v>0.52148093360270609</v>
          </cell>
          <cell r="EL268">
            <v>6.199588495463898E-3</v>
          </cell>
          <cell r="EQ268" t="str">
            <v>Corretoras de Seguros</v>
          </cell>
        </row>
        <row r="269">
          <cell r="A269" t="str">
            <v>VALID</v>
          </cell>
          <cell r="C269" t="str">
            <v>NM</v>
          </cell>
          <cell r="F269" t="str">
            <v>FOLLOW-ON</v>
          </cell>
          <cell r="G269" t="str">
            <v>ICVM 476</v>
          </cell>
          <cell r="J269">
            <v>42270</v>
          </cell>
          <cell r="M269" t="str">
            <v>Itaú BBA</v>
          </cell>
          <cell r="W269">
            <v>44</v>
          </cell>
          <cell r="X269">
            <v>42269</v>
          </cell>
          <cell r="AO269">
            <v>396000000</v>
          </cell>
          <cell r="AP269">
            <v>0</v>
          </cell>
          <cell r="AQ269">
            <v>396000000</v>
          </cell>
          <cell r="BL269">
            <v>42</v>
          </cell>
          <cell r="DZ269">
            <v>449</v>
          </cell>
          <cell r="ED269">
            <v>96488876.976681858</v>
          </cell>
          <cell r="EF269">
            <v>6.2837777777777779E-3</v>
          </cell>
          <cell r="EH269">
            <v>0.28428466666666669</v>
          </cell>
          <cell r="EJ269">
            <v>0.70496933333333334</v>
          </cell>
          <cell r="EL269">
            <v>4.4622222222222225E-3</v>
          </cell>
          <cell r="EQ269" t="str">
            <v xml:space="preserve">Serviços Diversos </v>
          </cell>
        </row>
        <row r="270">
          <cell r="A270" t="str">
            <v>GENERALSHOPP</v>
          </cell>
          <cell r="C270" t="str">
            <v>NM</v>
          </cell>
          <cell r="F270" t="str">
            <v>FOLLOW-ON</v>
          </cell>
          <cell r="G270" t="str">
            <v>ICVM 476</v>
          </cell>
          <cell r="J270">
            <v>42278</v>
          </cell>
          <cell r="M270" t="str">
            <v>Santander</v>
          </cell>
          <cell r="W270">
            <v>3.99</v>
          </cell>
          <cell r="X270">
            <v>42261</v>
          </cell>
          <cell r="AO270">
            <v>57932406</v>
          </cell>
          <cell r="AP270">
            <v>0</v>
          </cell>
          <cell r="AQ270">
            <v>57932406</v>
          </cell>
          <cell r="DZ270">
            <v>1</v>
          </cell>
          <cell r="ED270">
            <v>14558075.589284817</v>
          </cell>
          <cell r="EF270">
            <v>0</v>
          </cell>
          <cell r="EH270">
            <v>0</v>
          </cell>
          <cell r="EJ270">
            <v>0</v>
          </cell>
          <cell r="EL270">
            <v>1</v>
          </cell>
          <cell r="EQ270" t="str">
            <v xml:space="preserve">Exploração de Imóveis </v>
          </cell>
        </row>
        <row r="271">
          <cell r="A271" t="str">
            <v>GERDAU MET</v>
          </cell>
          <cell r="C271" t="str">
            <v>N1</v>
          </cell>
          <cell r="F271" t="str">
            <v>FOLLOW-ON</v>
          </cell>
          <cell r="G271" t="str">
            <v>ICVM 476</v>
          </cell>
          <cell r="J271">
            <v>42327</v>
          </cell>
          <cell r="M271" t="str">
            <v>BTG Pactual</v>
          </cell>
          <cell r="W271">
            <v>1.8</v>
          </cell>
          <cell r="X271">
            <v>42325</v>
          </cell>
          <cell r="AO271">
            <v>900000000</v>
          </cell>
          <cell r="AP271">
            <v>0</v>
          </cell>
          <cell r="AQ271">
            <v>900000000</v>
          </cell>
          <cell r="BL271">
            <v>225</v>
          </cell>
          <cell r="DZ271">
            <v>558</v>
          </cell>
          <cell r="ED271">
            <v>240371775.01201856</v>
          </cell>
          <cell r="EF271">
            <v>3.6634559999999997E-2</v>
          </cell>
          <cell r="EH271">
            <v>0.35301729200000004</v>
          </cell>
          <cell r="EJ271">
            <v>0.25018665000000001</v>
          </cell>
          <cell r="EL271">
            <v>0.36016149799999997</v>
          </cell>
          <cell r="EQ271" t="str">
            <v>Siderurgia</v>
          </cell>
        </row>
        <row r="272">
          <cell r="A272" t="str">
            <v>BR PHARMA</v>
          </cell>
          <cell r="C272" t="str">
            <v>NM</v>
          </cell>
          <cell r="F272" t="str">
            <v>FOLLOW-ON</v>
          </cell>
          <cell r="G272" t="str">
            <v>ICVM 476</v>
          </cell>
          <cell r="J272">
            <v>42402</v>
          </cell>
          <cell r="M272" t="str">
            <v>BTG Pactual</v>
          </cell>
          <cell r="W272">
            <v>3.78</v>
          </cell>
          <cell r="X272">
            <v>42388</v>
          </cell>
          <cell r="AO272">
            <v>400000000.68000001</v>
          </cell>
          <cell r="AP272">
            <v>0</v>
          </cell>
          <cell r="AQ272">
            <v>400000000.68000001</v>
          </cell>
          <cell r="DZ272">
            <v>1</v>
          </cell>
          <cell r="ED272">
            <v>100250626.7368421</v>
          </cell>
          <cell r="EF272">
            <v>0</v>
          </cell>
          <cell r="EH272">
            <v>0</v>
          </cell>
          <cell r="EJ272">
            <v>0</v>
          </cell>
          <cell r="EL272">
            <v>1</v>
          </cell>
          <cell r="EQ272" t="str">
            <v>Medicamentos</v>
          </cell>
        </row>
        <row r="273">
          <cell r="A273" t="str">
            <v>MERC INVEST</v>
          </cell>
          <cell r="C273" t="str">
            <v>BÁSICO</v>
          </cell>
          <cell r="F273" t="str">
            <v>FOLLOW-ON</v>
          </cell>
          <cell r="G273" t="str">
            <v>ICVM 476</v>
          </cell>
          <cell r="J273">
            <v>42440</v>
          </cell>
          <cell r="M273" t="str">
            <v>Banco Votorantim</v>
          </cell>
          <cell r="W273">
            <v>0.33</v>
          </cell>
          <cell r="X273">
            <v>42439</v>
          </cell>
          <cell r="AO273">
            <v>190474337.46000001</v>
          </cell>
          <cell r="AP273">
            <v>0</v>
          </cell>
          <cell r="AQ273">
            <v>190474337.46000001</v>
          </cell>
          <cell r="DZ273">
            <v>5</v>
          </cell>
          <cell r="ED273">
            <v>52514222.784042351</v>
          </cell>
          <cell r="EF273">
            <v>0</v>
          </cell>
          <cell r="EH273">
            <v>0</v>
          </cell>
          <cell r="EJ273">
            <v>0</v>
          </cell>
          <cell r="EL273">
            <v>1</v>
          </cell>
          <cell r="EQ273" t="str">
            <v>Bancos</v>
          </cell>
        </row>
        <row r="274">
          <cell r="A274" t="str">
            <v>RUMO LOG</v>
          </cell>
          <cell r="C274" t="str">
            <v>NM</v>
          </cell>
          <cell r="F274" t="str">
            <v>FOLLOW-ON</v>
          </cell>
          <cell r="G274" t="str">
            <v>ICVM 476</v>
          </cell>
          <cell r="J274">
            <v>42468</v>
          </cell>
          <cell r="M274" t="str">
            <v>Santander</v>
          </cell>
          <cell r="W274">
            <v>2.5</v>
          </cell>
          <cell r="X274">
            <v>42467</v>
          </cell>
          <cell r="AO274">
            <v>2600000000</v>
          </cell>
          <cell r="AP274">
            <v>0</v>
          </cell>
          <cell r="AQ274">
            <v>2600000000</v>
          </cell>
          <cell r="BL274">
            <v>30</v>
          </cell>
          <cell r="DZ274">
            <v>407</v>
          </cell>
          <cell r="ED274">
            <v>714580184.14181662</v>
          </cell>
          <cell r="EF274">
            <v>1.8656894230769231E-3</v>
          </cell>
          <cell r="EH274">
            <v>0.11569919423076923</v>
          </cell>
          <cell r="EJ274">
            <v>0.47579280961538462</v>
          </cell>
          <cell r="EL274">
            <v>0.40664230673076923</v>
          </cell>
          <cell r="EQ274" t="str">
            <v>Transporte Ferroviário</v>
          </cell>
        </row>
        <row r="275">
          <cell r="A275" t="str">
            <v>FRAS-LE</v>
          </cell>
          <cell r="C275" t="str">
            <v>N1</v>
          </cell>
          <cell r="F275" t="str">
            <v>FOLLOW-ON</v>
          </cell>
          <cell r="G275" t="str">
            <v>ICVM 476</v>
          </cell>
          <cell r="J275">
            <v>42485</v>
          </cell>
          <cell r="M275" t="str">
            <v>Santander</v>
          </cell>
          <cell r="W275">
            <v>3.24</v>
          </cell>
          <cell r="X275">
            <v>42468</v>
          </cell>
          <cell r="AO275">
            <v>300000001.31999999</v>
          </cell>
          <cell r="AP275">
            <v>0</v>
          </cell>
          <cell r="AQ275">
            <v>300000001.31999999</v>
          </cell>
          <cell r="BL275">
            <v>15</v>
          </cell>
          <cell r="DZ275">
            <v>60</v>
          </cell>
          <cell r="ED275">
            <v>84573748.680649519</v>
          </cell>
          <cell r="EF275">
            <v>1.586929313017511E-2</v>
          </cell>
          <cell r="EH275">
            <v>0.41657050256708983</v>
          </cell>
          <cell r="EJ275">
            <v>3.4478125048296254E-2</v>
          </cell>
          <cell r="EL275">
            <v>0.53308207925443896</v>
          </cell>
          <cell r="EQ275" t="str">
            <v>Material Rodoviário</v>
          </cell>
        </row>
        <row r="276">
          <cell r="A276" t="str">
            <v>ENERGISA</v>
          </cell>
          <cell r="C276" t="str">
            <v>N2</v>
          </cell>
          <cell r="F276" t="str">
            <v>FOLLOW-ON</v>
          </cell>
          <cell r="G276" t="str">
            <v>ICVM 400</v>
          </cell>
          <cell r="J276">
            <v>42579</v>
          </cell>
          <cell r="M276" t="str">
            <v>Citi</v>
          </cell>
          <cell r="W276">
            <v>18.5</v>
          </cell>
          <cell r="X276">
            <v>42578</v>
          </cell>
          <cell r="AO276">
            <v>1535962500</v>
          </cell>
          <cell r="AP276">
            <v>0</v>
          </cell>
          <cell r="AQ276">
            <v>1535962500</v>
          </cell>
          <cell r="BL276">
            <v>1824</v>
          </cell>
          <cell r="DZ276">
            <v>2560</v>
          </cell>
          <cell r="ED276">
            <v>469139431.88759929</v>
          </cell>
          <cell r="EF276">
            <v>9.5627353206865398E-2</v>
          </cell>
          <cell r="EH276">
            <v>0.35195844625112915</v>
          </cell>
          <cell r="EJ276">
            <v>0.54001554953327313</v>
          </cell>
          <cell r="EL276">
            <v>1.239865100873231E-2</v>
          </cell>
          <cell r="EQ276" t="str">
            <v>Energia Elétrica</v>
          </cell>
        </row>
        <row r="277">
          <cell r="A277" t="str">
            <v>CVC BRASIL</v>
          </cell>
          <cell r="C277" t="str">
            <v>NM</v>
          </cell>
          <cell r="F277" t="str">
            <v>FOLLOW-ON</v>
          </cell>
          <cell r="G277" t="str">
            <v>ICVM 476</v>
          </cell>
          <cell r="J277">
            <v>42598</v>
          </cell>
          <cell r="M277" t="str">
            <v>BofA Merrill Lynch</v>
          </cell>
          <cell r="W277">
            <v>20.5</v>
          </cell>
          <cell r="X277">
            <v>42592</v>
          </cell>
          <cell r="AO277">
            <v>0</v>
          </cell>
          <cell r="AP277">
            <v>1230000000</v>
          </cell>
          <cell r="AQ277">
            <v>1230000000</v>
          </cell>
          <cell r="BL277">
            <v>2</v>
          </cell>
          <cell r="DZ277">
            <v>714</v>
          </cell>
          <cell r="ED277">
            <v>387413776.81186807</v>
          </cell>
          <cell r="EF277">
            <v>3.7484999999999998E-4</v>
          </cell>
          <cell r="EH277">
            <v>0.33542768333333334</v>
          </cell>
          <cell r="EJ277">
            <v>0.65378511666666672</v>
          </cell>
          <cell r="EL277">
            <v>1.0412350000000001E-2</v>
          </cell>
          <cell r="EQ277" t="str">
            <v>Viagens e Turismo</v>
          </cell>
        </row>
        <row r="278">
          <cell r="A278" t="str">
            <v>LINX</v>
          </cell>
          <cell r="C278" t="str">
            <v>NM</v>
          </cell>
          <cell r="F278" t="str">
            <v>FOLLOW-ON</v>
          </cell>
          <cell r="G278" t="str">
            <v>ICVM 476</v>
          </cell>
          <cell r="J278">
            <v>42641</v>
          </cell>
          <cell r="M278" t="str">
            <v>BTG Pactual</v>
          </cell>
          <cell r="W278">
            <v>18.5</v>
          </cell>
          <cell r="X278">
            <v>42639</v>
          </cell>
          <cell r="AO278">
            <v>444000000</v>
          </cell>
          <cell r="AP278">
            <v>0</v>
          </cell>
          <cell r="AQ278">
            <v>444000000</v>
          </cell>
          <cell r="BL278">
            <v>1</v>
          </cell>
          <cell r="DZ278">
            <v>342</v>
          </cell>
          <cell r="ED278">
            <v>136716344.37738639</v>
          </cell>
          <cell r="EF278">
            <v>1.2152916666666666E-3</v>
          </cell>
          <cell r="EH278">
            <v>0.28609258333333332</v>
          </cell>
          <cell r="EJ278">
            <v>0.70998950000000005</v>
          </cell>
          <cell r="EL278">
            <v>2.7026250000000002E-3</v>
          </cell>
          <cell r="EQ278" t="str">
            <v>Programas e Serviços</v>
          </cell>
        </row>
        <row r="279">
          <cell r="A279" t="str">
            <v>TAESA</v>
          </cell>
          <cell r="C279" t="str">
            <v>N2</v>
          </cell>
          <cell r="F279" t="str">
            <v>FOLLOW-ON</v>
          </cell>
          <cell r="G279" t="str">
            <v>ICVM 476</v>
          </cell>
          <cell r="J279">
            <v>42667</v>
          </cell>
          <cell r="M279" t="str">
            <v>BofA Merrill Lynch</v>
          </cell>
          <cell r="W279">
            <v>19.649999999999999</v>
          </cell>
          <cell r="X279">
            <v>42661</v>
          </cell>
          <cell r="AO279">
            <v>0</v>
          </cell>
          <cell r="AP279">
            <v>1291048819.5</v>
          </cell>
          <cell r="AQ279">
            <v>1291048819.5</v>
          </cell>
          <cell r="DZ279">
            <v>684</v>
          </cell>
          <cell r="ED279">
            <v>412330752.6109035</v>
          </cell>
          <cell r="EF279">
            <v>0</v>
          </cell>
          <cell r="EH279">
            <v>0.31579354308065344</v>
          </cell>
          <cell r="EJ279">
            <v>0.68420645691934645</v>
          </cell>
          <cell r="EL279">
            <v>0</v>
          </cell>
          <cell r="EQ279" t="str">
            <v>Energia Elétrica</v>
          </cell>
        </row>
        <row r="280">
          <cell r="A280" t="str">
            <v>ALLIAR</v>
          </cell>
          <cell r="C280" t="str">
            <v>NM</v>
          </cell>
          <cell r="F280" t="str">
            <v>IPO</v>
          </cell>
          <cell r="G280" t="str">
            <v>ICVM 400</v>
          </cell>
          <cell r="J280">
            <v>42671</v>
          </cell>
          <cell r="M280" t="str">
            <v>Itaú BBA</v>
          </cell>
          <cell r="W280">
            <v>20</v>
          </cell>
          <cell r="X280">
            <v>42669</v>
          </cell>
          <cell r="AO280">
            <v>279069780</v>
          </cell>
          <cell r="AP280">
            <v>395127820</v>
          </cell>
          <cell r="AQ280">
            <v>674197600</v>
          </cell>
          <cell r="BL280">
            <v>1771</v>
          </cell>
          <cell r="DZ280">
            <v>2035</v>
          </cell>
          <cell r="ED280">
            <v>211911865.47226149</v>
          </cell>
          <cell r="EF280">
            <v>9.3510308032546618E-2</v>
          </cell>
          <cell r="EH280">
            <v>0.36966820649579085</v>
          </cell>
          <cell r="EJ280">
            <v>0.53033030857484598</v>
          </cell>
          <cell r="EL280">
            <v>6.4911768968165381E-3</v>
          </cell>
          <cell r="EQ280" t="str">
            <v>Serviços Médicos Hospitalares, Análises e Diagnósticos</v>
          </cell>
        </row>
        <row r="281">
          <cell r="A281" t="str">
            <v>SANEPAR</v>
          </cell>
          <cell r="C281" t="str">
            <v>N2</v>
          </cell>
          <cell r="F281" t="str">
            <v>FOLLOW-ON</v>
          </cell>
          <cell r="G281" t="str">
            <v>ICVM 400</v>
          </cell>
          <cell r="J281">
            <v>42725</v>
          </cell>
          <cell r="M281" t="str">
            <v>Bradesco BBI</v>
          </cell>
          <cell r="W281">
            <v>9.5</v>
          </cell>
          <cell r="X281">
            <v>42723</v>
          </cell>
          <cell r="AO281">
            <v>257592186.5</v>
          </cell>
          <cell r="AP281">
            <v>1717571452.5</v>
          </cell>
          <cell r="AQ281">
            <v>1975163639</v>
          </cell>
          <cell r="BL281">
            <v>1310</v>
          </cell>
          <cell r="DZ281">
            <v>1757</v>
          </cell>
          <cell r="ED281">
            <v>588091359.19728458</v>
          </cell>
          <cell r="EF281">
            <v>9.039949803369178E-2</v>
          </cell>
          <cell r="EH281">
            <v>0.50713993550789538</v>
          </cell>
          <cell r="EJ281">
            <v>0.39437625046316477</v>
          </cell>
          <cell r="EL281">
            <v>8.084315995248028E-3</v>
          </cell>
          <cell r="EQ281" t="str">
            <v>Água e Saneamento</v>
          </cell>
        </row>
        <row r="282">
          <cell r="A282" t="str">
            <v>MOVIDA</v>
          </cell>
          <cell r="C282" t="str">
            <v>NM</v>
          </cell>
          <cell r="F282" t="str">
            <v>IPO</v>
          </cell>
          <cell r="G282" t="str">
            <v>ICVM 400</v>
          </cell>
          <cell r="J282">
            <v>42774</v>
          </cell>
          <cell r="M282" t="str">
            <v>Bradesco BBI</v>
          </cell>
          <cell r="W282">
            <v>7.5</v>
          </cell>
          <cell r="X282">
            <v>42772</v>
          </cell>
          <cell r="AO282">
            <v>535955055</v>
          </cell>
          <cell r="AP282">
            <v>64128735</v>
          </cell>
          <cell r="AQ282">
            <v>600083790</v>
          </cell>
          <cell r="BL282">
            <v>1096</v>
          </cell>
          <cell r="DZ282">
            <v>1373</v>
          </cell>
          <cell r="ED282">
            <v>191996093.42505199</v>
          </cell>
          <cell r="EF282">
            <v>9.3400396584743584E-2</v>
          </cell>
          <cell r="EH282">
            <v>0.3086604509575126</v>
          </cell>
          <cell r="EJ282">
            <v>0.450424733202273</v>
          </cell>
          <cell r="EL282">
            <v>0.14751441925547082</v>
          </cell>
          <cell r="EQ282" t="str">
            <v>Aluguel de Carros</v>
          </cell>
        </row>
        <row r="283">
          <cell r="A283" t="str">
            <v>IHPARDINI</v>
          </cell>
          <cell r="C283" t="str">
            <v>NM</v>
          </cell>
          <cell r="F283" t="str">
            <v>IPO</v>
          </cell>
          <cell r="G283" t="str">
            <v>ICVM 400</v>
          </cell>
          <cell r="J283">
            <v>42780</v>
          </cell>
          <cell r="M283" t="str">
            <v>Itaú BBA</v>
          </cell>
          <cell r="W283">
            <v>19</v>
          </cell>
          <cell r="X283">
            <v>42776</v>
          </cell>
          <cell r="AO283">
            <v>187272151</v>
          </cell>
          <cell r="AP283">
            <v>690396673</v>
          </cell>
          <cell r="AQ283">
            <v>877668824</v>
          </cell>
          <cell r="BL283">
            <v>4616</v>
          </cell>
          <cell r="DZ283">
            <v>5042</v>
          </cell>
          <cell r="ED283">
            <v>283082448.71629465</v>
          </cell>
          <cell r="EF283">
            <v>0.10052935183214393</v>
          </cell>
          <cell r="EH283">
            <v>0.48025412715354693</v>
          </cell>
          <cell r="EJ283">
            <v>0.41314996509435087</v>
          </cell>
          <cell r="EL283">
            <v>6.0665559199582549E-3</v>
          </cell>
        </row>
        <row r="284">
          <cell r="A284" t="str">
            <v xml:space="preserve">CCR SA </v>
          </cell>
          <cell r="C284" t="str">
            <v>NM</v>
          </cell>
          <cell r="F284" t="str">
            <v>FOLLOW-ON</v>
          </cell>
          <cell r="G284" t="str">
            <v>ICVM 476</v>
          </cell>
          <cell r="J284">
            <v>42776</v>
          </cell>
          <cell r="M284" t="str">
            <v>Bradesco BBI</v>
          </cell>
          <cell r="W284">
            <v>16</v>
          </cell>
          <cell r="X284">
            <v>42775</v>
          </cell>
          <cell r="AO284">
            <v>4070604800</v>
          </cell>
          <cell r="AP284">
            <v>0</v>
          </cell>
          <cell r="AQ284">
            <v>4070604800</v>
          </cell>
          <cell r="DZ284">
            <v>396</v>
          </cell>
          <cell r="ED284">
            <v>1306775216.6934187</v>
          </cell>
          <cell r="EF284">
            <v>9.2369566311128996E-5</v>
          </cell>
          <cell r="EH284">
            <v>0.12943539790450795</v>
          </cell>
          <cell r="EJ284">
            <v>0.68391256650608778</v>
          </cell>
          <cell r="EL284">
            <v>0.18655966602309318</v>
          </cell>
          <cell r="EQ284" t="str">
            <v>Exploração de Rodovias</v>
          </cell>
        </row>
        <row r="285">
          <cell r="A285" t="str">
            <v>LOJAS AMERIC</v>
          </cell>
          <cell r="C285" t="str">
            <v>BÁSICO</v>
          </cell>
          <cell r="F285" t="str">
            <v>FOLLOW-ON</v>
          </cell>
          <cell r="G285" t="str">
            <v>ICVM 476</v>
          </cell>
          <cell r="J285">
            <v>42804</v>
          </cell>
          <cell r="M285" t="str">
            <v>Credit Suisse</v>
          </cell>
          <cell r="W285">
            <v>15.798929639613231</v>
          </cell>
          <cell r="X285">
            <v>42802</v>
          </cell>
          <cell r="AO285">
            <v>2405053617.02</v>
          </cell>
          <cell r="AP285">
            <v>0</v>
          </cell>
          <cell r="AQ285">
            <v>2405053617.02</v>
          </cell>
          <cell r="DZ285">
            <v>1203</v>
          </cell>
          <cell r="ED285">
            <v>760539359.64962208</v>
          </cell>
          <cell r="EF285">
            <v>1.0287140228619933E-3</v>
          </cell>
          <cell r="EH285">
            <v>0.38560231035243137</v>
          </cell>
          <cell r="EJ285">
            <v>0.47038976752481998</v>
          </cell>
          <cell r="EL285">
            <v>0.14297920809988662</v>
          </cell>
          <cell r="EQ285" t="str">
            <v>Produtos Diversos</v>
          </cell>
        </row>
        <row r="286">
          <cell r="A286" t="str">
            <v>ALUPAR</v>
          </cell>
          <cell r="C286" t="str">
            <v>N2</v>
          </cell>
          <cell r="F286" t="str">
            <v>FOLLOW-ON</v>
          </cell>
          <cell r="G286" t="str">
            <v>ICVM 476</v>
          </cell>
          <cell r="J286">
            <v>42831</v>
          </cell>
          <cell r="M286" t="str">
            <v>Santander</v>
          </cell>
          <cell r="W286">
            <v>6.5</v>
          </cell>
          <cell r="X286">
            <v>42829</v>
          </cell>
          <cell r="AO286">
            <v>833462493.5</v>
          </cell>
          <cell r="AP286">
            <v>0</v>
          </cell>
          <cell r="AQ286">
            <v>833462493.5</v>
          </cell>
          <cell r="BL286">
            <v>150</v>
          </cell>
          <cell r="DZ286">
            <v>811</v>
          </cell>
          <cell r="ED286">
            <v>267478335.52631578</v>
          </cell>
          <cell r="EF286">
            <v>2.6108637364855819E-3</v>
          </cell>
          <cell r="EH286">
            <v>0.44916412126468414</v>
          </cell>
          <cell r="EJ286">
            <v>0.54812231271688294</v>
          </cell>
          <cell r="EL286">
            <v>1.0270228194737596E-4</v>
          </cell>
          <cell r="EQ286" t="str">
            <v>Energia Elétrica</v>
          </cell>
        </row>
        <row r="287">
          <cell r="A287" t="str">
            <v>AZUL¹</v>
          </cell>
          <cell r="C287" t="str">
            <v>N2</v>
          </cell>
          <cell r="F287" t="str">
            <v>IPO</v>
          </cell>
          <cell r="G287" t="str">
            <v>ICVM 400</v>
          </cell>
          <cell r="J287">
            <v>42836</v>
          </cell>
          <cell r="M287" t="str">
            <v>Itaú BBA</v>
          </cell>
          <cell r="W287">
            <v>21</v>
          </cell>
          <cell r="X287">
            <v>42835</v>
          </cell>
          <cell r="AO287">
            <v>1323000000</v>
          </cell>
          <cell r="AP287">
            <v>698036577</v>
          </cell>
          <cell r="AQ287">
            <v>2021036577</v>
          </cell>
          <cell r="BL287">
            <v>1517</v>
          </cell>
          <cell r="DZ287">
            <v>1753</v>
          </cell>
          <cell r="ED287">
            <v>643150641.86608958</v>
          </cell>
          <cell r="EF287">
            <v>6.3673746662725544E-2</v>
          </cell>
          <cell r="EH287">
            <v>7.6148414507393652E-2</v>
          </cell>
          <cell r="EJ287">
            <v>0.8582679540490078</v>
          </cell>
          <cell r="EL287">
            <v>1.9098847808730183E-3</v>
          </cell>
          <cell r="EQ287" t="str">
            <v>Transporte Aéreo</v>
          </cell>
        </row>
        <row r="288">
          <cell r="A288" t="str">
            <v>SANTANDER BR ¹</v>
          </cell>
          <cell r="C288" t="str">
            <v>BÁSICO</v>
          </cell>
          <cell r="F288" t="str">
            <v>FOLLOW-ON</v>
          </cell>
          <cell r="G288" t="str">
            <v>ICVM 476</v>
          </cell>
          <cell r="J288">
            <v>42831</v>
          </cell>
          <cell r="M288" t="str">
            <v>BofA Merrill Lynch</v>
          </cell>
          <cell r="W288">
            <v>25</v>
          </cell>
          <cell r="X288">
            <v>42831</v>
          </cell>
          <cell r="AO288">
            <v>0</v>
          </cell>
          <cell r="AP288">
            <v>2000000000</v>
          </cell>
          <cell r="AQ288">
            <v>2000000000</v>
          </cell>
          <cell r="DZ288">
            <v>157</v>
          </cell>
          <cell r="ED288">
            <v>641848523.74839532</v>
          </cell>
          <cell r="EF288">
            <v>0</v>
          </cell>
          <cell r="EH288">
            <v>0.19256071250000001</v>
          </cell>
          <cell r="EJ288">
            <v>0.80511428750000003</v>
          </cell>
          <cell r="EL288">
            <v>2.3249999999999998E-3</v>
          </cell>
          <cell r="EQ288" t="str">
            <v>Bancos</v>
          </cell>
        </row>
        <row r="289">
          <cell r="A289" t="str">
            <v>BR MALLS PAR</v>
          </cell>
          <cell r="C289" t="str">
            <v>NM</v>
          </cell>
          <cell r="F289" t="str">
            <v>FOLLOW-ON</v>
          </cell>
          <cell r="G289" t="str">
            <v>ICVM 476</v>
          </cell>
          <cell r="J289">
            <v>42879</v>
          </cell>
          <cell r="M289" t="str">
            <v>Itaú BBA</v>
          </cell>
          <cell r="W289">
            <v>11</v>
          </cell>
          <cell r="X289">
            <v>42879</v>
          </cell>
          <cell r="AO289">
            <v>1730088492</v>
          </cell>
          <cell r="AP289">
            <v>0</v>
          </cell>
          <cell r="AQ289">
            <v>1730088492</v>
          </cell>
          <cell r="BL289">
            <v>53</v>
          </cell>
          <cell r="DZ289">
            <v>536</v>
          </cell>
          <cell r="ED289">
            <v>530230314.13773024</v>
          </cell>
          <cell r="EF289">
            <v>1.9905166793052109E-4</v>
          </cell>
          <cell r="EH289">
            <v>0.33419547940672623</v>
          </cell>
          <cell r="EJ289">
            <v>0.66158176665104362</v>
          </cell>
          <cell r="EL289">
            <v>4.02370227429962E-3</v>
          </cell>
          <cell r="EQ289" t="str">
            <v>Exploração de Imóveis</v>
          </cell>
        </row>
        <row r="290">
          <cell r="A290" t="str">
            <v>BR PROPERT</v>
          </cell>
          <cell r="C290" t="str">
            <v>NM</v>
          </cell>
          <cell r="F290" t="str">
            <v>FOLLOW-ON</v>
          </cell>
          <cell r="G290" t="str">
            <v>ICVM 476</v>
          </cell>
          <cell r="J290">
            <v>42919</v>
          </cell>
          <cell r="M290" t="str">
            <v>Itaú BBA</v>
          </cell>
          <cell r="W290">
            <v>8.75</v>
          </cell>
          <cell r="X290">
            <v>42915</v>
          </cell>
          <cell r="AO290">
            <v>952934928.75</v>
          </cell>
          <cell r="AP290">
            <v>0</v>
          </cell>
          <cell r="AQ290">
            <v>952934928.75</v>
          </cell>
          <cell r="BL290">
            <v>12</v>
          </cell>
          <cell r="DZ290">
            <v>179</v>
          </cell>
          <cell r="ED290">
            <v>288636961.60835987</v>
          </cell>
          <cell r="EF290">
            <v>3.2091645586036556E-5</v>
          </cell>
          <cell r="EH290">
            <v>4.1219675724894031E-2</v>
          </cell>
          <cell r="EJ290">
            <v>0.95874823262951991</v>
          </cell>
          <cell r="EL290">
            <v>0</v>
          </cell>
          <cell r="EQ290" t="str">
            <v xml:space="preserve">Exploração de Imóveis </v>
          </cell>
        </row>
        <row r="291">
          <cell r="A291" t="str">
            <v>CARREFOUR BR</v>
          </cell>
          <cell r="C291" t="str">
            <v>NM</v>
          </cell>
          <cell r="F291" t="str">
            <v>IPO</v>
          </cell>
          <cell r="G291" t="str">
            <v>ICVM 400</v>
          </cell>
          <cell r="J291">
            <v>42936</v>
          </cell>
          <cell r="M291" t="str">
            <v>Itaú BBA</v>
          </cell>
          <cell r="W291">
            <v>15</v>
          </cell>
          <cell r="X291">
            <v>42934</v>
          </cell>
          <cell r="AO291">
            <v>3088235295</v>
          </cell>
          <cell r="AP291">
            <v>1884470475</v>
          </cell>
          <cell r="AQ291">
            <v>4972705770</v>
          </cell>
          <cell r="BL291">
            <v>4068</v>
          </cell>
          <cell r="DZ291">
            <v>4839</v>
          </cell>
          <cell r="ED291">
            <v>1583563394.0513341</v>
          </cell>
          <cell r="EF291">
            <v>4.7275200792959243E-2</v>
          </cell>
          <cell r="EH291">
            <v>0.31807122323055381</v>
          </cell>
          <cell r="EJ291">
            <v>0.62964555787178444</v>
          </cell>
          <cell r="EL291">
            <v>5.0080181047025508E-3</v>
          </cell>
          <cell r="EQ291" t="str">
            <v>Alimentos</v>
          </cell>
        </row>
        <row r="292">
          <cell r="A292" t="str">
            <v>BIOTOSCANA</v>
          </cell>
          <cell r="C292" t="str">
            <v>BDR</v>
          </cell>
          <cell r="F292" t="str">
            <v>IPO</v>
          </cell>
          <cell r="G292" t="str">
            <v>ICVM 400</v>
          </cell>
          <cell r="J292">
            <v>42941</v>
          </cell>
          <cell r="M292" t="str">
            <v>JP Morgan</v>
          </cell>
          <cell r="W292">
            <v>26.5</v>
          </cell>
          <cell r="X292">
            <v>42934</v>
          </cell>
          <cell r="AO292">
            <v>424000000</v>
          </cell>
          <cell r="AP292">
            <v>917562500</v>
          </cell>
          <cell r="AQ292">
            <v>1341562500</v>
          </cell>
          <cell r="BL292">
            <v>4295</v>
          </cell>
          <cell r="DZ292">
            <v>4661</v>
          </cell>
          <cell r="ED292">
            <v>425137057.92876154</v>
          </cell>
          <cell r="EF292">
            <v>9.5759269135802474E-2</v>
          </cell>
          <cell r="EH292">
            <v>0.22420246913580247</v>
          </cell>
          <cell r="EJ292">
            <v>0.67580843456790118</v>
          </cell>
          <cell r="EL292">
            <v>4.2298271604938268E-3</v>
          </cell>
          <cell r="EQ292" t="str">
            <v>Medicamentos e Outros Produtos</v>
          </cell>
        </row>
        <row r="293">
          <cell r="A293" t="str">
            <v>IRBBRASIL RE</v>
          </cell>
          <cell r="C293" t="str">
            <v>NM</v>
          </cell>
          <cell r="F293" t="str">
            <v>IPO</v>
          </cell>
          <cell r="G293" t="str">
            <v>ICVM 400</v>
          </cell>
          <cell r="J293">
            <v>42947</v>
          </cell>
          <cell r="M293" t="str">
            <v>Bradesco BBI</v>
          </cell>
          <cell r="W293">
            <v>27.24</v>
          </cell>
          <cell r="X293">
            <v>42943</v>
          </cell>
          <cell r="AO293">
            <v>0</v>
          </cell>
          <cell r="AP293">
            <v>2003610960</v>
          </cell>
          <cell r="AQ293">
            <v>2003610960</v>
          </cell>
          <cell r="BL293">
            <v>7324</v>
          </cell>
          <cell r="DZ293">
            <v>7879</v>
          </cell>
          <cell r="ED293">
            <v>639988168.78014505</v>
          </cell>
          <cell r="EF293">
            <v>9.6732128776137266E-2</v>
          </cell>
          <cell r="EH293">
            <v>0.26792439568208393</v>
          </cell>
          <cell r="EJ293">
            <v>0.63158524349457534</v>
          </cell>
          <cell r="EL293">
            <v>3.758232047203415E-3</v>
          </cell>
          <cell r="EQ293" t="str">
            <v>Seguradoras</v>
          </cell>
        </row>
        <row r="294">
          <cell r="A294" t="str">
            <v>OMEGA GER</v>
          </cell>
          <cell r="C294" t="str">
            <v>NM</v>
          </cell>
          <cell r="F294" t="str">
            <v>IPO</v>
          </cell>
          <cell r="G294" t="str">
            <v>ICVM 400</v>
          </cell>
          <cell r="J294">
            <v>42947</v>
          </cell>
          <cell r="M294" t="str">
            <v>BTG Pactual</v>
          </cell>
          <cell r="W294">
            <v>15.6</v>
          </cell>
          <cell r="X294">
            <v>42943</v>
          </cell>
          <cell r="AO294">
            <v>538538504.39999998</v>
          </cell>
          <cell r="AP294">
            <v>250637961.59999999</v>
          </cell>
          <cell r="AQ294">
            <v>789176466</v>
          </cell>
          <cell r="BL294">
            <v>776</v>
          </cell>
          <cell r="DZ294">
            <v>1017</v>
          </cell>
          <cell r="ED294">
            <v>252076681.2533938</v>
          </cell>
          <cell r="EF294">
            <v>4.0555793259045306E-2</v>
          </cell>
          <cell r="EH294">
            <v>0.59343803949673268</v>
          </cell>
          <cell r="EJ294">
            <v>0.24830644911806074</v>
          </cell>
          <cell r="EL294">
            <v>0.11769971812616115</v>
          </cell>
          <cell r="EQ294" t="str">
            <v>Energia Elétrica</v>
          </cell>
        </row>
        <row r="295">
          <cell r="A295" t="str">
            <v>BAHEMA</v>
          </cell>
          <cell r="C295" t="str">
            <v>BÁSICO</v>
          </cell>
          <cell r="F295" t="str">
            <v>FOLLOW-ON</v>
          </cell>
          <cell r="G295" t="str">
            <v>ICVM 476</v>
          </cell>
          <cell r="J295">
            <v>42951</v>
          </cell>
          <cell r="M295" t="str">
            <v>Coinvalores CCVM Ltda.</v>
          </cell>
          <cell r="W295">
            <v>53.78</v>
          </cell>
          <cell r="X295">
            <v>42825</v>
          </cell>
          <cell r="AO295">
            <v>30555214.559999999</v>
          </cell>
          <cell r="AP295">
            <v>0</v>
          </cell>
          <cell r="AQ295">
            <v>30555214.559999999</v>
          </cell>
          <cell r="BL295">
            <v>2</v>
          </cell>
          <cell r="DZ295">
            <v>11</v>
          </cell>
          <cell r="ED295">
            <v>9785810.4534973092</v>
          </cell>
          <cell r="EF295">
            <v>2.4641293175065825E-2</v>
          </cell>
          <cell r="EH295">
            <v>0.75683971894845037</v>
          </cell>
          <cell r="EJ295">
            <v>0</v>
          </cell>
          <cell r="EL295">
            <v>0.21851898787648374</v>
          </cell>
          <cell r="EQ295" t="str">
            <v>Holdings Diversificadas</v>
          </cell>
        </row>
        <row r="296">
          <cell r="A296" t="str">
            <v>MAGAZ LUIZA</v>
          </cell>
          <cell r="C296" t="str">
            <v>NM</v>
          </cell>
          <cell r="F296" t="str">
            <v>FOLLOW-ON</v>
          </cell>
          <cell r="G296" t="str">
            <v>ICVM 476</v>
          </cell>
          <cell r="J296">
            <v>43007</v>
          </cell>
          <cell r="M296" t="str">
            <v>BofA Merrill Lynch</v>
          </cell>
          <cell r="W296">
            <v>65</v>
          </cell>
          <cell r="X296">
            <v>43005</v>
          </cell>
          <cell r="AO296">
            <v>1144000000</v>
          </cell>
          <cell r="AP296">
            <v>416000000</v>
          </cell>
          <cell r="AQ296">
            <v>1560000000</v>
          </cell>
          <cell r="BL296">
            <v>71</v>
          </cell>
          <cell r="DZ296">
            <v>155</v>
          </cell>
          <cell r="ED296">
            <v>492424242.42424238</v>
          </cell>
          <cell r="EF296">
            <v>7.093333333333333E-4</v>
          </cell>
          <cell r="EH296">
            <v>0.33676325000000001</v>
          </cell>
          <cell r="EJ296">
            <v>0.6625274166666667</v>
          </cell>
          <cell r="EL296">
            <v>0</v>
          </cell>
          <cell r="EQ296" t="str">
            <v>Eletrodomésticos</v>
          </cell>
        </row>
        <row r="297">
          <cell r="A297" t="str">
            <v>PARANAPANEMA</v>
          </cell>
          <cell r="C297" t="str">
            <v>NM</v>
          </cell>
          <cell r="F297" t="str">
            <v>FOLLOW-ON</v>
          </cell>
          <cell r="G297" t="str">
            <v>ICVM 476</v>
          </cell>
          <cell r="J297">
            <v>42993</v>
          </cell>
          <cell r="M297" t="str">
            <v>Modal</v>
          </cell>
          <cell r="W297">
            <v>1.56</v>
          </cell>
          <cell r="X297">
            <v>42991</v>
          </cell>
          <cell r="AO297">
            <v>0</v>
          </cell>
          <cell r="AP297">
            <v>352358788.07999998</v>
          </cell>
          <cell r="AQ297">
            <v>352358788.07999998</v>
          </cell>
          <cell r="DZ297">
            <v>39</v>
          </cell>
          <cell r="ED297">
            <v>112736774.30171171</v>
          </cell>
          <cell r="EF297">
            <v>0</v>
          </cell>
          <cell r="EH297">
            <v>0</v>
          </cell>
          <cell r="EJ297">
            <v>0.18730907743108505</v>
          </cell>
          <cell r="EL297">
            <v>0.81269092256891518</v>
          </cell>
          <cell r="EQ297" t="str">
            <v>Artefatos de Cobre</v>
          </cell>
        </row>
        <row r="298">
          <cell r="A298" t="str">
            <v>AZUL ¹</v>
          </cell>
          <cell r="C298" t="str">
            <v>N2</v>
          </cell>
          <cell r="F298" t="str">
            <v>FOLLOW-ON</v>
          </cell>
          <cell r="G298" t="str">
            <v>ICVM 476</v>
          </cell>
          <cell r="J298">
            <v>42997</v>
          </cell>
          <cell r="M298" t="str">
            <v>Itaú BBA</v>
          </cell>
          <cell r="W298">
            <v>27.96</v>
          </cell>
          <cell r="X298">
            <v>42992</v>
          </cell>
          <cell r="AO298">
            <v>0</v>
          </cell>
          <cell r="AP298">
            <v>1249622011.8</v>
          </cell>
          <cell r="AQ298">
            <v>1249622011.8</v>
          </cell>
          <cell r="DZ298">
            <v>145</v>
          </cell>
          <cell r="ED298">
            <v>401240050.02568716</v>
          </cell>
          <cell r="EF298">
            <v>0</v>
          </cell>
          <cell r="EH298">
            <v>7.5092426904692824E-2</v>
          </cell>
          <cell r="EJ298">
            <v>0.92490757309530713</v>
          </cell>
          <cell r="EL298">
            <v>0</v>
          </cell>
          <cell r="EQ298" t="str">
            <v>Transporte Aéreo</v>
          </cell>
        </row>
        <row r="299">
          <cell r="A299" t="str">
            <v>CAMIL</v>
          </cell>
          <cell r="C299" t="str">
            <v>NM</v>
          </cell>
          <cell r="F299" t="str">
            <v>IPO</v>
          </cell>
          <cell r="G299" t="str">
            <v>ICVM 400</v>
          </cell>
          <cell r="J299">
            <v>43006</v>
          </cell>
          <cell r="M299" t="str">
            <v>BofA Merrill Lynch</v>
          </cell>
          <cell r="W299">
            <v>9</v>
          </cell>
          <cell r="X299">
            <v>42998</v>
          </cell>
          <cell r="AO299">
            <v>369000000</v>
          </cell>
          <cell r="AP299">
            <v>778500000</v>
          </cell>
          <cell r="AQ299">
            <v>1147500000</v>
          </cell>
          <cell r="BL299">
            <v>2573</v>
          </cell>
          <cell r="DZ299">
            <v>2940</v>
          </cell>
          <cell r="ED299">
            <v>360112976.62011611</v>
          </cell>
          <cell r="EF299">
            <v>9.0348453537936912E-2</v>
          </cell>
          <cell r="EH299">
            <v>0.55473237169650469</v>
          </cell>
          <cell r="EJ299">
            <v>0.34709945780051149</v>
          </cell>
          <cell r="EL299">
            <v>7.8197169650468887E-3</v>
          </cell>
          <cell r="EQ299" t="str">
            <v>Alimentos Diversos</v>
          </cell>
        </row>
        <row r="300">
          <cell r="A300" t="str">
            <v>ENEVA</v>
          </cell>
          <cell r="C300" t="str">
            <v>NM</v>
          </cell>
          <cell r="F300" t="str">
            <v>FOLLOW-ON</v>
          </cell>
          <cell r="G300" t="str">
            <v>ICVM 400</v>
          </cell>
          <cell r="J300">
            <v>43014</v>
          </cell>
          <cell r="M300" t="str">
            <v>BTG Pactual</v>
          </cell>
          <cell r="W300">
            <v>11</v>
          </cell>
          <cell r="X300">
            <v>43013</v>
          </cell>
          <cell r="AO300">
            <v>834482759</v>
          </cell>
          <cell r="AP300">
            <v>41724133</v>
          </cell>
          <cell r="AQ300">
            <v>876206892</v>
          </cell>
          <cell r="BL300">
            <v>261</v>
          </cell>
          <cell r="DZ300">
            <v>426</v>
          </cell>
          <cell r="ED300">
            <v>276860115.01516682</v>
          </cell>
          <cell r="EF300">
            <v>1.5021861982797551E-2</v>
          </cell>
          <cell r="EH300">
            <v>0.53518100494466325</v>
          </cell>
          <cell r="EJ300">
            <v>0.31226320118924605</v>
          </cell>
          <cell r="EL300">
            <v>0.13753393188329316</v>
          </cell>
          <cell r="EQ300" t="str">
            <v>Energia Elétrica</v>
          </cell>
        </row>
        <row r="301">
          <cell r="A301" t="str">
            <v>VULCABRAS</v>
          </cell>
          <cell r="C301" t="str">
            <v>NM</v>
          </cell>
          <cell r="F301" t="str">
            <v>FOLLOW-ON</v>
          </cell>
          <cell r="G301" t="str">
            <v>ICVM 400</v>
          </cell>
          <cell r="J301">
            <v>43033</v>
          </cell>
          <cell r="M301" t="str">
            <v>Credit Suisse</v>
          </cell>
          <cell r="W301">
            <v>9.5</v>
          </cell>
          <cell r="X301">
            <v>43032</v>
          </cell>
          <cell r="AO301">
            <v>574997000</v>
          </cell>
          <cell r="AP301">
            <v>111460431.5</v>
          </cell>
          <cell r="AQ301">
            <v>686457431.5</v>
          </cell>
          <cell r="BL301">
            <v>1030</v>
          </cell>
          <cell r="DZ301">
            <v>1288</v>
          </cell>
          <cell r="ED301">
            <v>211954621.14428627</v>
          </cell>
          <cell r="EF301">
            <v>0.10086817991179797</v>
          </cell>
          <cell r="EH301">
            <v>0.64801417078657397</v>
          </cell>
          <cell r="EJ301">
            <v>0.24951614707115896</v>
          </cell>
          <cell r="EL301">
            <v>1.6015022304690975E-3</v>
          </cell>
          <cell r="EQ301" t="str">
            <v>Calçados</v>
          </cell>
        </row>
        <row r="302">
          <cell r="A302" t="str">
            <v>RUMO S.A.</v>
          </cell>
          <cell r="C302" t="str">
            <v>NM</v>
          </cell>
          <cell r="F302" t="str">
            <v>FOLLOW-ON</v>
          </cell>
          <cell r="G302" t="str">
            <v>ICVM 476</v>
          </cell>
          <cell r="J302">
            <v>43014</v>
          </cell>
          <cell r="M302" t="str">
            <v>Bradesco BBI</v>
          </cell>
          <cell r="W302">
            <v>12</v>
          </cell>
          <cell r="X302">
            <v>43012</v>
          </cell>
          <cell r="AO302">
            <v>2640000000</v>
          </cell>
          <cell r="AP302">
            <v>0</v>
          </cell>
          <cell r="AQ302">
            <v>2640000000</v>
          </cell>
          <cell r="DZ302">
            <v>76</v>
          </cell>
          <cell r="ED302">
            <v>842185855.10575175</v>
          </cell>
          <cell r="EF302">
            <v>0</v>
          </cell>
          <cell r="EH302">
            <v>0.17843048636363637</v>
          </cell>
          <cell r="EJ302">
            <v>0.23318181818181818</v>
          </cell>
          <cell r="EL302">
            <v>0.5883876954545455</v>
          </cell>
          <cell r="EQ302" t="str">
            <v>Transporte Ferroviário</v>
          </cell>
        </row>
        <row r="303">
          <cell r="A303" t="str">
            <v>IMC S/A</v>
          </cell>
          <cell r="C303" t="str">
            <v>NM</v>
          </cell>
          <cell r="F303" t="str">
            <v>FOLLOW-ON</v>
          </cell>
          <cell r="G303" t="str">
            <v>ICVM 476</v>
          </cell>
          <cell r="J303">
            <v>43052</v>
          </cell>
          <cell r="M303" t="str">
            <v>BTG Pactual</v>
          </cell>
          <cell r="W303">
            <v>8</v>
          </cell>
          <cell r="X303">
            <v>43048</v>
          </cell>
          <cell r="AO303">
            <v>0</v>
          </cell>
          <cell r="AP303">
            <v>444592648</v>
          </cell>
          <cell r="AQ303">
            <v>444592648</v>
          </cell>
          <cell r="DZ303">
            <v>141</v>
          </cell>
          <cell r="ED303">
            <v>136600192.95173132</v>
          </cell>
          <cell r="EF303">
            <v>8.9790058786577148E-5</v>
          </cell>
          <cell r="EH303">
            <v>0.59937971803798251</v>
          </cell>
          <cell r="EJ303">
            <v>0.40053049190323092</v>
          </cell>
          <cell r="EL303">
            <v>0</v>
          </cell>
          <cell r="EQ303" t="str">
            <v>Restaurante e Similares</v>
          </cell>
        </row>
        <row r="304">
          <cell r="A304" t="str">
            <v>BK BRASIL</v>
          </cell>
          <cell r="C304" t="str">
            <v>NM</v>
          </cell>
          <cell r="F304" t="str">
            <v>IPO</v>
          </cell>
          <cell r="G304" t="str">
            <v>ICVM 400</v>
          </cell>
          <cell r="J304">
            <v>43087</v>
          </cell>
          <cell r="M304" t="str">
            <v>Itaú BBA</v>
          </cell>
          <cell r="W304">
            <v>18</v>
          </cell>
          <cell r="X304">
            <v>43083</v>
          </cell>
          <cell r="AO304">
            <v>886153842</v>
          </cell>
          <cell r="AP304">
            <v>1096968060</v>
          </cell>
          <cell r="AQ304">
            <v>1983121902</v>
          </cell>
          <cell r="BL304">
            <v>3281</v>
          </cell>
          <cell r="DZ304">
            <v>3672</v>
          </cell>
          <cell r="ED304">
            <v>603120921.50482047</v>
          </cell>
          <cell r="EF304">
            <v>9.6651416517531591E-2</v>
          </cell>
          <cell r="EH304">
            <v>0.13584876249517025</v>
          </cell>
          <cell r="EJ304">
            <v>0.76333477716099751</v>
          </cell>
          <cell r="EL304">
            <v>4.1650438263006184E-3</v>
          </cell>
          <cell r="EQ304" t="str">
            <v>Restaurante e Similares</v>
          </cell>
        </row>
        <row r="305">
          <cell r="A305" t="str">
            <v>LE LIS BLANC</v>
          </cell>
          <cell r="C305" t="str">
            <v>NM</v>
          </cell>
          <cell r="F305" t="str">
            <v>FOLLOW-ON</v>
          </cell>
          <cell r="G305" t="str">
            <v>ICVM 476</v>
          </cell>
          <cell r="J305">
            <v>43073</v>
          </cell>
          <cell r="M305" t="str">
            <v>BTG Pactual</v>
          </cell>
          <cell r="W305">
            <v>30</v>
          </cell>
          <cell r="X305">
            <v>43069</v>
          </cell>
          <cell r="AO305">
            <v>148140000</v>
          </cell>
          <cell r="AP305">
            <v>0</v>
          </cell>
          <cell r="AQ305">
            <v>148140000</v>
          </cell>
          <cell r="BL305">
            <v>1</v>
          </cell>
          <cell r="DZ305">
            <v>40</v>
          </cell>
          <cell r="ED305">
            <v>45573124.961545564</v>
          </cell>
          <cell r="EF305">
            <v>0.30544673957067636</v>
          </cell>
          <cell r="EH305">
            <v>0</v>
          </cell>
          <cell r="EJ305">
            <v>6.0153908464965575E-3</v>
          </cell>
          <cell r="EL305">
            <v>0.68853786958282703</v>
          </cell>
          <cell r="EQ305" t="str">
            <v>Tecidos. Vestuário e Calçados</v>
          </cell>
        </row>
        <row r="306">
          <cell r="A306" t="str">
            <v>PETROBRAS BR</v>
          </cell>
          <cell r="C306" t="str">
            <v>NM</v>
          </cell>
          <cell r="F306" t="str">
            <v>IPO</v>
          </cell>
          <cell r="G306" t="str">
            <v>ICVM 400</v>
          </cell>
          <cell r="J306">
            <v>43084</v>
          </cell>
          <cell r="M306" t="str">
            <v>Citi</v>
          </cell>
          <cell r="W306">
            <v>15</v>
          </cell>
          <cell r="X306">
            <v>43082</v>
          </cell>
          <cell r="AO306">
            <v>655312500</v>
          </cell>
          <cell r="AP306">
            <v>4368750000</v>
          </cell>
          <cell r="AQ306">
            <v>5024062500</v>
          </cell>
          <cell r="BL306">
            <v>6808</v>
          </cell>
          <cell r="DZ306">
            <v>7658</v>
          </cell>
          <cell r="ED306">
            <v>1514092730.9987342</v>
          </cell>
          <cell r="EF306">
            <v>9.8186664676245566E-2</v>
          </cell>
          <cell r="EH306">
            <v>0.24114632132860608</v>
          </cell>
          <cell r="EJ306">
            <v>0.65514977869005409</v>
          </cell>
          <cell r="EL306">
            <v>5.5172353050942343E-3</v>
          </cell>
          <cell r="EQ306" t="str">
            <v>Exploração. Refino e Distribuição</v>
          </cell>
        </row>
        <row r="307">
          <cell r="A307" t="str">
            <v>SANEPAR</v>
          </cell>
          <cell r="C307" t="str">
            <v>N2</v>
          </cell>
          <cell r="F307" t="str">
            <v>FOLLOW-ON</v>
          </cell>
          <cell r="G307" t="str">
            <v>ICVM 476</v>
          </cell>
          <cell r="J307">
            <v>43083</v>
          </cell>
          <cell r="M307" t="str">
            <v>Itaú BBA</v>
          </cell>
          <cell r="W307">
            <v>55.2</v>
          </cell>
          <cell r="X307">
            <v>43081</v>
          </cell>
          <cell r="AO307">
            <v>0</v>
          </cell>
          <cell r="AP307">
            <v>1040308970.4</v>
          </cell>
          <cell r="AQ307">
            <v>1040308970.4</v>
          </cell>
          <cell r="DZ307">
            <v>56</v>
          </cell>
          <cell r="ED307">
            <v>312105175.32701308</v>
          </cell>
          <cell r="EF307">
            <v>0</v>
          </cell>
          <cell r="EH307">
            <v>0.4277353969454919</v>
          </cell>
          <cell r="EJ307">
            <v>0.57226460305450799</v>
          </cell>
          <cell r="EL307">
            <v>0</v>
          </cell>
          <cell r="EQ307" t="str">
            <v>Água e Saneamento</v>
          </cell>
        </row>
        <row r="308">
          <cell r="A308" t="str">
            <v>INTERMEDICA</v>
          </cell>
          <cell r="C308" t="str">
            <v>NM</v>
          </cell>
          <cell r="F308" t="str">
            <v>IPO</v>
          </cell>
          <cell r="G308" t="str">
            <v>ICVM 400</v>
          </cell>
          <cell r="J308">
            <v>43213</v>
          </cell>
          <cell r="M308" t="str">
            <v>Itaú BBA</v>
          </cell>
          <cell r="W308">
            <v>16.5</v>
          </cell>
          <cell r="X308">
            <v>43209</v>
          </cell>
          <cell r="AO308">
            <v>341379307.5</v>
          </cell>
          <cell r="AP308">
            <v>2377736641.5</v>
          </cell>
          <cell r="AQ308">
            <v>2719115949</v>
          </cell>
          <cell r="BL308">
            <v>1375</v>
          </cell>
          <cell r="DZ308">
            <v>1838</v>
          </cell>
          <cell r="ED308">
            <v>789958440.77743244</v>
          </cell>
          <cell r="EF308">
            <v>8.6834953502749654E-2</v>
          </cell>
          <cell r="EH308">
            <v>0.21468036153981604</v>
          </cell>
          <cell r="EJ308">
            <v>0.69621169600958421</v>
          </cell>
          <cell r="EL308">
            <v>2.2729889478501236E-3</v>
          </cell>
          <cell r="EQ308" t="str">
            <v>Serv.Méd.Hospit..Análises e Diagnósticos</v>
          </cell>
        </row>
        <row r="309">
          <cell r="A309" t="str">
            <v>HAPVIDA</v>
          </cell>
          <cell r="C309" t="str">
            <v>NM</v>
          </cell>
          <cell r="F309" t="str">
            <v>IPO</v>
          </cell>
          <cell r="G309" t="str">
            <v>ICVM 400</v>
          </cell>
          <cell r="J309">
            <v>43215</v>
          </cell>
          <cell r="M309" t="str">
            <v>BTG Pactual</v>
          </cell>
          <cell r="W309">
            <v>23.5</v>
          </cell>
          <cell r="X309">
            <v>43213</v>
          </cell>
          <cell r="AO309">
            <v>2631026465.5</v>
          </cell>
          <cell r="AP309">
            <v>800747178</v>
          </cell>
          <cell r="AQ309">
            <v>3431773643.5</v>
          </cell>
          <cell r="BL309">
            <v>4374</v>
          </cell>
          <cell r="DZ309">
            <v>5099</v>
          </cell>
          <cell r="ED309">
            <v>979387455.33675802</v>
          </cell>
          <cell r="EF309">
            <v>9.7468953593005239E-2</v>
          </cell>
          <cell r="EH309">
            <v>0.43505761964454576</v>
          </cell>
          <cell r="EJ309">
            <v>0.46448551145532452</v>
          </cell>
          <cell r="EL309">
            <v>2.9879153071244806E-3</v>
          </cell>
          <cell r="EQ309" t="str">
            <v>Serv.Méd.Hospit..Análises e Diagnósticos</v>
          </cell>
        </row>
        <row r="310">
          <cell r="A310" t="str">
            <v>INTER BANCO</v>
          </cell>
          <cell r="C310" t="str">
            <v>N1</v>
          </cell>
          <cell r="F310" t="str">
            <v>IPO</v>
          </cell>
          <cell r="G310" t="str">
            <v>ICVM 400</v>
          </cell>
          <cell r="J310">
            <v>43220</v>
          </cell>
          <cell r="M310" t="str">
            <v>Bradesco BBI</v>
          </cell>
          <cell r="W310">
            <v>18.5</v>
          </cell>
          <cell r="X310">
            <v>43216</v>
          </cell>
          <cell r="AO310">
            <v>541463439</v>
          </cell>
          <cell r="AP310">
            <v>130991063</v>
          </cell>
          <cell r="AQ310">
            <v>672454502</v>
          </cell>
          <cell r="BL310">
            <v>8387</v>
          </cell>
          <cell r="DZ310">
            <v>8605</v>
          </cell>
          <cell r="ED310">
            <v>193172991.8703858</v>
          </cell>
          <cell r="EF310">
            <v>0.11714129972864151</v>
          </cell>
          <cell r="EH310">
            <v>0.27988361740523721</v>
          </cell>
          <cell r="EJ310">
            <v>0.60297508286612123</v>
          </cell>
          <cell r="EL310">
            <v>0</v>
          </cell>
          <cell r="EQ310" t="str">
            <v>Bancos</v>
          </cell>
        </row>
        <row r="311">
          <cell r="A311" t="str">
            <v>INTERMEDICA</v>
          </cell>
          <cell r="C311" t="str">
            <v>NM</v>
          </cell>
          <cell r="F311" t="str">
            <v>FOLLOW-ON</v>
          </cell>
          <cell r="G311" t="str">
            <v>ICVM 476</v>
          </cell>
          <cell r="J311">
            <v>43441</v>
          </cell>
          <cell r="M311" t="str">
            <v>Itaú BBA</v>
          </cell>
          <cell r="W311">
            <v>26</v>
          </cell>
          <cell r="X311">
            <v>43439</v>
          </cell>
          <cell r="AO311">
            <v>312000000</v>
          </cell>
          <cell r="AP311">
            <v>2741700000</v>
          </cell>
          <cell r="AQ311">
            <v>3053700000</v>
          </cell>
          <cell r="BL311">
            <v>15</v>
          </cell>
          <cell r="DZ311">
            <v>337</v>
          </cell>
          <cell r="ED311">
            <v>783723437.01878655</v>
          </cell>
          <cell r="EF311">
            <v>7.3839080459770119E-4</v>
          </cell>
          <cell r="EH311">
            <v>0.27355475521498512</v>
          </cell>
          <cell r="EJ311">
            <v>0.72570685398041723</v>
          </cell>
          <cell r="EL311">
            <v>0</v>
          </cell>
          <cell r="EQ311" t="str">
            <v>Serv.Méd.Hospit..Análises e Diagnósticos</v>
          </cell>
        </row>
        <row r="312">
          <cell r="A312" t="str">
            <v>LOCAMERICA</v>
          </cell>
          <cell r="C312" t="str">
            <v>NM</v>
          </cell>
          <cell r="F312" t="str">
            <v>FOLLOW-ON</v>
          </cell>
          <cell r="G312" t="str">
            <v>ICVM 476</v>
          </cell>
          <cell r="J312">
            <v>43451</v>
          </cell>
          <cell r="M312" t="str">
            <v>Itaú BBA</v>
          </cell>
          <cell r="W312">
            <v>32</v>
          </cell>
          <cell r="X312">
            <v>43447</v>
          </cell>
          <cell r="AO312">
            <v>992000000</v>
          </cell>
          <cell r="AP312">
            <v>384000000</v>
          </cell>
          <cell r="AQ312">
            <v>1376000000</v>
          </cell>
          <cell r="BL312">
            <v>40</v>
          </cell>
          <cell r="DZ312">
            <v>337</v>
          </cell>
          <cell r="ED312">
            <v>356209065.72782111</v>
          </cell>
          <cell r="EF312">
            <v>1.4323720930232559E-3</v>
          </cell>
          <cell r="EH312">
            <v>0.59577132558139534</v>
          </cell>
          <cell r="EJ312">
            <v>0.40048467441860464</v>
          </cell>
          <cell r="EL312">
            <v>2.3116279069767443E-3</v>
          </cell>
          <cell r="EQ312" t="str">
            <v>Aluguel de Carros</v>
          </cell>
        </row>
        <row r="313">
          <cell r="A313" t="str">
            <v>LOCALIZA</v>
          </cell>
          <cell r="C313" t="str">
            <v>NM</v>
          </cell>
          <cell r="F313" t="str">
            <v>FOLLOW-ON</v>
          </cell>
          <cell r="G313" t="str">
            <v>ICVM 476</v>
          </cell>
          <cell r="J313">
            <v>43500</v>
          </cell>
          <cell r="M313" t="str">
            <v>BTG Pactual</v>
          </cell>
          <cell r="W313">
            <v>33</v>
          </cell>
          <cell r="X313">
            <v>43496</v>
          </cell>
          <cell r="AO313">
            <v>1821600000</v>
          </cell>
          <cell r="AP313">
            <v>0</v>
          </cell>
          <cell r="AQ313">
            <v>1821600000</v>
          </cell>
          <cell r="BL313">
            <v>116</v>
          </cell>
          <cell r="DZ313">
            <v>906</v>
          </cell>
          <cell r="ED313">
            <v>495592556.3173359</v>
          </cell>
          <cell r="EF313">
            <v>1.4706340579710145E-3</v>
          </cell>
          <cell r="EH313">
            <v>0.53825666666666672</v>
          </cell>
          <cell r="EJ313">
            <v>0.45991653985507247</v>
          </cell>
          <cell r="EL313">
            <v>3.5615942028985505E-4</v>
          </cell>
          <cell r="EQ313" t="str">
            <v>Aluguel de carros</v>
          </cell>
        </row>
        <row r="314">
          <cell r="A314" t="str">
            <v>IRBBRASIL RE</v>
          </cell>
          <cell r="C314" t="str">
            <v>NM</v>
          </cell>
          <cell r="F314" t="str">
            <v>FOLLOW-ON</v>
          </cell>
          <cell r="G314" t="str">
            <v>ICVM 476</v>
          </cell>
          <cell r="J314">
            <v>43524</v>
          </cell>
          <cell r="M314" t="str">
            <v>Caixa</v>
          </cell>
          <cell r="W314">
            <v>91</v>
          </cell>
          <cell r="X314">
            <v>43522</v>
          </cell>
          <cell r="AO314">
            <v>0</v>
          </cell>
          <cell r="AP314">
            <v>2516733128</v>
          </cell>
          <cell r="AQ314">
            <v>2516733128</v>
          </cell>
          <cell r="DZ314">
            <v>64</v>
          </cell>
          <cell r="ED314">
            <v>677360551.20441389</v>
          </cell>
          <cell r="EF314">
            <v>2.0610051746416236E-4</v>
          </cell>
          <cell r="EH314">
            <v>0.3046964016440602</v>
          </cell>
          <cell r="EJ314">
            <v>0.69509749783847563</v>
          </cell>
          <cell r="EL314">
            <v>0</v>
          </cell>
          <cell r="EQ314" t="str">
            <v>Seguradoras</v>
          </cell>
        </row>
        <row r="315">
          <cell r="A315" t="str">
            <v>BK BRASIL</v>
          </cell>
          <cell r="C315" t="str">
            <v>NM</v>
          </cell>
          <cell r="F315" t="str">
            <v>FOLLOW-ON</v>
          </cell>
          <cell r="G315" t="str">
            <v>ICVM 476</v>
          </cell>
          <cell r="J315">
            <v>43549</v>
          </cell>
          <cell r="M315" t="str">
            <v>Itaú BBA</v>
          </cell>
          <cell r="W315">
            <v>21.41</v>
          </cell>
          <cell r="X315">
            <v>43546</v>
          </cell>
          <cell r="AO315">
            <v>0</v>
          </cell>
          <cell r="AP315">
            <v>714529225.61000001</v>
          </cell>
          <cell r="AQ315">
            <v>714529225.61000001</v>
          </cell>
          <cell r="DZ315">
            <v>118</v>
          </cell>
          <cell r="ED315">
            <v>184299516.53598145</v>
          </cell>
          <cell r="EF315">
            <v>0</v>
          </cell>
          <cell r="EH315">
            <v>0.15702803121063788</v>
          </cell>
          <cell r="EJ315">
            <v>0.82899386314718448</v>
          </cell>
          <cell r="EL315">
            <v>1.3978105642177694E-2</v>
          </cell>
          <cell r="EQ315" t="str">
            <v>Restaurante e Similares</v>
          </cell>
        </row>
        <row r="316">
          <cell r="A316" t="str">
            <v>ENEVA</v>
          </cell>
          <cell r="C316" t="str">
            <v>NM</v>
          </cell>
          <cell r="F316" t="str">
            <v>FOLLOW-ON</v>
          </cell>
          <cell r="G316" t="str">
            <v>ICVM 476</v>
          </cell>
          <cell r="J316">
            <v>43563</v>
          </cell>
          <cell r="M316" t="str">
            <v>Itaú BBA</v>
          </cell>
          <cell r="W316">
            <v>18.25</v>
          </cell>
          <cell r="X316">
            <v>43559</v>
          </cell>
          <cell r="AO316">
            <v>0</v>
          </cell>
          <cell r="AP316">
            <v>1106794409.25</v>
          </cell>
          <cell r="AQ316">
            <v>1106794409.25</v>
          </cell>
          <cell r="DZ316">
            <v>258</v>
          </cell>
          <cell r="ED316">
            <v>286304105.03647369</v>
          </cell>
          <cell r="EF316">
            <v>0</v>
          </cell>
          <cell r="EH316">
            <v>0.6699587075999679</v>
          </cell>
          <cell r="EJ316">
            <v>0.32134911712375908</v>
          </cell>
          <cell r="EL316">
            <v>8.6921752762729732E-3</v>
          </cell>
          <cell r="EQ316" t="str">
            <v>Energia Elétrica</v>
          </cell>
        </row>
        <row r="317">
          <cell r="A317" t="str">
            <v>CENTAURO</v>
          </cell>
          <cell r="C317" t="str">
            <v>NM</v>
          </cell>
          <cell r="F317" t="str">
            <v>IPO</v>
          </cell>
          <cell r="G317" t="str">
            <v>ICVM 400</v>
          </cell>
          <cell r="J317">
            <v>43572</v>
          </cell>
          <cell r="M317" t="str">
            <v>Bradesco BBI</v>
          </cell>
          <cell r="W317">
            <v>12.5</v>
          </cell>
          <cell r="X317">
            <v>43570</v>
          </cell>
          <cell r="AO317">
            <v>705101362.5</v>
          </cell>
          <cell r="AP317">
            <v>0</v>
          </cell>
          <cell r="AQ317">
            <v>705101362.5</v>
          </cell>
          <cell r="BL317">
            <v>3368</v>
          </cell>
          <cell r="DZ317">
            <v>3582</v>
          </cell>
          <cell r="ED317">
            <v>179758154.87571701</v>
          </cell>
          <cell r="EF317">
            <v>9.6976311194838974E-2</v>
          </cell>
          <cell r="EH317">
            <v>0.50313528398821172</v>
          </cell>
          <cell r="EJ317">
            <v>0.39571931949924294</v>
          </cell>
          <cell r="EL317">
            <v>4.169085317706339E-3</v>
          </cell>
          <cell r="EQ317" t="str">
            <v>Produtos Diversos</v>
          </cell>
        </row>
        <row r="318">
          <cell r="A318" t="str">
            <v>TOTVS</v>
          </cell>
          <cell r="C318" t="str">
            <v>NM</v>
          </cell>
          <cell r="F318" t="str">
            <v>FOLLOW-ON</v>
          </cell>
          <cell r="G318" t="str">
            <v>ICVM 476</v>
          </cell>
          <cell r="J318">
            <v>43609</v>
          </cell>
          <cell r="M318" t="str">
            <v>BTG Pactual</v>
          </cell>
          <cell r="W318">
            <v>39.5</v>
          </cell>
          <cell r="X318">
            <v>43607</v>
          </cell>
          <cell r="AO318">
            <v>1066500000</v>
          </cell>
          <cell r="AP318">
            <v>0</v>
          </cell>
          <cell r="AQ318">
            <v>1066500000</v>
          </cell>
          <cell r="DZ318">
            <v>172</v>
          </cell>
          <cell r="ED318">
            <v>264495808.73964587</v>
          </cell>
          <cell r="EF318">
            <v>0</v>
          </cell>
          <cell r="EH318">
            <v>0.54841174074074073</v>
          </cell>
          <cell r="EJ318">
            <v>0.25543455555555555</v>
          </cell>
          <cell r="EL318">
            <v>0.19615370370370369</v>
          </cell>
          <cell r="EQ318" t="str">
            <v>Programas e Serviços</v>
          </cell>
        </row>
        <row r="319">
          <cell r="A319" t="str">
            <v>BTGP BANCO</v>
          </cell>
          <cell r="C319" t="str">
            <v>N2</v>
          </cell>
          <cell r="F319" t="str">
            <v>FOLLOW-ON</v>
          </cell>
          <cell r="G319" t="str">
            <v>ICVM 476</v>
          </cell>
          <cell r="J319">
            <v>43629</v>
          </cell>
          <cell r="M319" t="str">
            <v>BTG Pactual</v>
          </cell>
          <cell r="W319">
            <v>46</v>
          </cell>
          <cell r="X319">
            <v>43627</v>
          </cell>
          <cell r="AO319">
            <v>0</v>
          </cell>
          <cell r="AP319">
            <v>2539200000</v>
          </cell>
          <cell r="AQ319">
            <v>2539200000</v>
          </cell>
          <cell r="DZ319">
            <v>138</v>
          </cell>
          <cell r="ED319">
            <v>660750995.34205937</v>
          </cell>
          <cell r="EF319">
            <v>0</v>
          </cell>
          <cell r="EH319">
            <v>0.67451798913043481</v>
          </cell>
          <cell r="EJ319">
            <v>0.32373188405797104</v>
          </cell>
          <cell r="EL319">
            <v>1.7501268115942029E-3</v>
          </cell>
          <cell r="EQ319" t="str">
            <v>Bancos</v>
          </cell>
        </row>
        <row r="320">
          <cell r="A320" t="str">
            <v>CPFL ENERGIA</v>
          </cell>
          <cell r="C320" t="str">
            <v>NM</v>
          </cell>
          <cell r="F320" t="str">
            <v>FOLLOW-ON</v>
          </cell>
          <cell r="G320" t="str">
            <v>ICVM 476</v>
          </cell>
          <cell r="J320">
            <v>43629</v>
          </cell>
          <cell r="M320" t="str">
            <v>Itaú BBA</v>
          </cell>
          <cell r="W320">
            <v>27.5</v>
          </cell>
          <cell r="X320">
            <v>43628</v>
          </cell>
          <cell r="AO320">
            <v>3694341585</v>
          </cell>
          <cell r="AP320">
            <v>0</v>
          </cell>
          <cell r="AQ320">
            <v>3694341585</v>
          </cell>
          <cell r="BL320">
            <v>27</v>
          </cell>
          <cell r="DZ320">
            <v>572</v>
          </cell>
          <cell r="ED320">
            <v>930096068.73111784</v>
          </cell>
          <cell r="EF320">
            <v>1.4261012087760153E-3</v>
          </cell>
          <cell r="EH320">
            <v>0.5096314571030659</v>
          </cell>
          <cell r="EJ320">
            <v>0.4871484819669159</v>
          </cell>
          <cell r="EL320">
            <v>1.7939597212421818E-3</v>
          </cell>
          <cell r="EQ320" t="str">
            <v>Energia Elétrica</v>
          </cell>
        </row>
        <row r="321">
          <cell r="A321" t="str">
            <v>INTERMEDICA</v>
          </cell>
          <cell r="C321" t="str">
            <v>NM</v>
          </cell>
          <cell r="F321" t="str">
            <v>FOLLOW-ON</v>
          </cell>
          <cell r="G321" t="str">
            <v>ICVM 476</v>
          </cell>
          <cell r="J321">
            <v>43637</v>
          </cell>
          <cell r="M321" t="str">
            <v>Itaú BBA</v>
          </cell>
          <cell r="W321">
            <v>39.5</v>
          </cell>
          <cell r="X321">
            <v>43634</v>
          </cell>
          <cell r="AO321">
            <v>0</v>
          </cell>
          <cell r="AP321">
            <v>2666250000</v>
          </cell>
          <cell r="AQ321">
            <v>2666250000</v>
          </cell>
          <cell r="DZ321">
            <v>267</v>
          </cell>
          <cell r="ED321">
            <v>696967716.63834798</v>
          </cell>
          <cell r="EF321">
            <v>0</v>
          </cell>
          <cell r="EH321">
            <v>0.59822416296296299</v>
          </cell>
          <cell r="EJ321">
            <v>0.40177583703703706</v>
          </cell>
          <cell r="EL321">
            <v>0</v>
          </cell>
          <cell r="EQ321" t="str">
            <v>Serv.Méd.Hospit..Análises e Diagnósticos</v>
          </cell>
        </row>
        <row r="322">
          <cell r="A322" t="str">
            <v>LINX¹</v>
          </cell>
          <cell r="C322" t="str">
            <v>NM</v>
          </cell>
          <cell r="F322" t="str">
            <v>FOLLOW-ON</v>
          </cell>
          <cell r="G322" t="str">
            <v>ICVM 400</v>
          </cell>
          <cell r="J322">
            <v>43642</v>
          </cell>
          <cell r="M322" t="str">
            <v>Goldman Sachs</v>
          </cell>
          <cell r="W322">
            <v>36</v>
          </cell>
          <cell r="X322">
            <v>43641</v>
          </cell>
          <cell r="AO322">
            <v>831600000</v>
          </cell>
          <cell r="AP322">
            <v>348285636</v>
          </cell>
          <cell r="AQ322">
            <v>1179885636</v>
          </cell>
          <cell r="BL322">
            <v>664</v>
          </cell>
          <cell r="DZ322">
            <v>761</v>
          </cell>
          <cell r="ED322">
            <v>306934168.20582193</v>
          </cell>
          <cell r="EF322">
            <v>6.691218931775024E-2</v>
          </cell>
          <cell r="EH322">
            <v>7.148899176945521E-2</v>
          </cell>
          <cell r="EJ322">
            <v>0.85996942232790807</v>
          </cell>
          <cell r="EL322">
            <v>1.6293965848864648E-3</v>
          </cell>
          <cell r="EQ322" t="str">
            <v>Programas e Serviços</v>
          </cell>
        </row>
        <row r="323">
          <cell r="A323" t="str">
            <v>PETROBRAS¹</v>
          </cell>
          <cell r="C323" t="str">
            <v>N2</v>
          </cell>
          <cell r="F323" t="str">
            <v>FOLLOW-ON</v>
          </cell>
          <cell r="G323" t="str">
            <v>ICVM 400</v>
          </cell>
          <cell r="J323">
            <v>43643</v>
          </cell>
          <cell r="M323" t="str">
            <v>Caixa</v>
          </cell>
          <cell r="W323">
            <v>30.25</v>
          </cell>
          <cell r="X323">
            <v>43641</v>
          </cell>
          <cell r="AO323">
            <v>0</v>
          </cell>
          <cell r="AP323">
            <v>7300546222.75</v>
          </cell>
          <cell r="AQ323">
            <v>7300546222.75</v>
          </cell>
          <cell r="BL323">
            <v>13251</v>
          </cell>
          <cell r="DZ323">
            <v>13694</v>
          </cell>
          <cell r="ED323">
            <v>1889277527.7547746</v>
          </cell>
          <cell r="EF323">
            <v>0.20642952852674615</v>
          </cell>
          <cell r="EH323">
            <v>0.32478022502086895</v>
          </cell>
          <cell r="EJ323">
            <v>0.45530170747935084</v>
          </cell>
          <cell r="EL323">
            <v>1.3488538973034064E-2</v>
          </cell>
          <cell r="EQ323" t="str">
            <v>Exploração. Refino e Distribuição</v>
          </cell>
        </row>
        <row r="324">
          <cell r="A324" t="str">
            <v>NEOENERGIA</v>
          </cell>
          <cell r="C324" t="str">
            <v>NM</v>
          </cell>
          <cell r="F324" t="str">
            <v>IPO</v>
          </cell>
          <cell r="G324" t="str">
            <v>ICVM 400</v>
          </cell>
          <cell r="J324">
            <v>43644</v>
          </cell>
          <cell r="M324" t="str">
            <v>BB Investimentos</v>
          </cell>
          <cell r="W324">
            <v>15.65</v>
          </cell>
          <cell r="X324">
            <v>43623</v>
          </cell>
          <cell r="AO324">
            <v>0</v>
          </cell>
          <cell r="AP324">
            <v>3744278776.0000005</v>
          </cell>
          <cell r="AQ324">
            <v>3744278776.0000005</v>
          </cell>
          <cell r="BL324">
            <v>21595</v>
          </cell>
          <cell r="DZ324">
            <v>22695</v>
          </cell>
          <cell r="ED324">
            <v>977057245.44648004</v>
          </cell>
          <cell r="EF324">
            <v>0.16386312887082957</v>
          </cell>
          <cell r="EH324">
            <v>0.43233909035463336</v>
          </cell>
          <cell r="EJ324">
            <v>0.39339634218517922</v>
          </cell>
          <cell r="EL324">
            <v>1.0401438589357857E-2</v>
          </cell>
          <cell r="EQ324" t="str">
            <v>Energia Elétrica</v>
          </cell>
        </row>
        <row r="325">
          <cell r="A325" t="str">
            <v>LIGHT S/A</v>
          </cell>
          <cell r="C325" t="str">
            <v>NM</v>
          </cell>
          <cell r="F325" t="str">
            <v>FOLLOW-ON</v>
          </cell>
          <cell r="G325" t="str">
            <v>ICVM 476</v>
          </cell>
          <cell r="J325">
            <v>43648</v>
          </cell>
          <cell r="M325" t="str">
            <v>Itaú BBA</v>
          </cell>
          <cell r="W325">
            <v>18.75</v>
          </cell>
          <cell r="X325">
            <v>43627</v>
          </cell>
          <cell r="AO325">
            <v>1875000000</v>
          </cell>
          <cell r="AP325">
            <v>624999993.75</v>
          </cell>
          <cell r="AQ325">
            <v>2499999993.75</v>
          </cell>
          <cell r="BL325">
            <v>144</v>
          </cell>
          <cell r="DZ325">
            <v>664</v>
          </cell>
          <cell r="ED325">
            <v>654570207.56421328</v>
          </cell>
          <cell r="EF325">
            <v>6.8671725171679313E-3</v>
          </cell>
          <cell r="EH325">
            <v>0.52464667631161666</v>
          </cell>
          <cell r="EJ325">
            <v>0.46655523116638808</v>
          </cell>
          <cell r="EL325">
            <v>1.9309200048273001E-3</v>
          </cell>
          <cell r="EQ325" t="str">
            <v>Energia Elétrica</v>
          </cell>
        </row>
        <row r="326">
          <cell r="A326" t="str">
            <v>TECNISA</v>
          </cell>
          <cell r="C326" t="str">
            <v>NM</v>
          </cell>
          <cell r="F326" t="str">
            <v>FOLLOW-ON</v>
          </cell>
          <cell r="G326" t="str">
            <v>ICVM 476</v>
          </cell>
          <cell r="J326">
            <v>43665</v>
          </cell>
          <cell r="M326" t="str">
            <v>BTG Pactual</v>
          </cell>
          <cell r="W326">
            <v>1.1000000000000001</v>
          </cell>
          <cell r="X326">
            <v>43663</v>
          </cell>
          <cell r="AO326">
            <v>445500000.00000006</v>
          </cell>
          <cell r="AP326">
            <v>0</v>
          </cell>
          <cell r="AQ326">
            <v>445500000.00000006</v>
          </cell>
          <cell r="BL326">
            <v>2</v>
          </cell>
          <cell r="DZ326">
            <v>381</v>
          </cell>
          <cell r="ED326">
            <v>119092172.79726262</v>
          </cell>
          <cell r="EF326">
            <v>1.930791851851852E-2</v>
          </cell>
          <cell r="EH326">
            <v>0.66594965925925931</v>
          </cell>
          <cell r="EJ326">
            <v>0.16138789382716048</v>
          </cell>
          <cell r="EL326">
            <v>0.15335452839506172</v>
          </cell>
          <cell r="EQ326" t="str">
            <v>Incorporações</v>
          </cell>
        </row>
        <row r="327">
          <cell r="A327" t="str">
            <v>IRBBRASIL RE</v>
          </cell>
          <cell r="C327" t="str">
            <v>NM</v>
          </cell>
          <cell r="F327" t="str">
            <v>FOLLOW-ON</v>
          </cell>
          <cell r="G327" t="str">
            <v>ICVM 476</v>
          </cell>
          <cell r="J327">
            <v>43668</v>
          </cell>
          <cell r="M327" t="str">
            <v>BB Investimentos</v>
          </cell>
          <cell r="W327">
            <v>88</v>
          </cell>
          <cell r="X327">
            <v>43664</v>
          </cell>
          <cell r="AO327">
            <v>0</v>
          </cell>
          <cell r="AP327">
            <v>7390103600</v>
          </cell>
          <cell r="AQ327">
            <v>7390103600</v>
          </cell>
          <cell r="DZ327">
            <v>520</v>
          </cell>
          <cell r="ED327">
            <v>1975963529.4117646</v>
          </cell>
          <cell r="EF327">
            <v>2.0243288605588696E-5</v>
          </cell>
          <cell r="EH327">
            <v>0.27353823510674463</v>
          </cell>
          <cell r="EJ327">
            <v>0.72644152160464981</v>
          </cell>
          <cell r="EL327">
            <v>0</v>
          </cell>
          <cell r="EQ327" t="str">
            <v>Seguradoras</v>
          </cell>
        </row>
        <row r="328">
          <cell r="A328" t="str">
            <v>HAPVIDA</v>
          </cell>
          <cell r="C328" t="str">
            <v>NM</v>
          </cell>
          <cell r="F328" t="str">
            <v>FOLLOW-ON</v>
          </cell>
          <cell r="G328" t="str">
            <v>ICVM 476</v>
          </cell>
          <cell r="J328">
            <v>43672</v>
          </cell>
          <cell r="M328" t="str">
            <v>BTG Pactual</v>
          </cell>
          <cell r="W328">
            <v>42.5</v>
          </cell>
          <cell r="X328">
            <v>43670</v>
          </cell>
          <cell r="AO328">
            <v>2664495000</v>
          </cell>
          <cell r="AP328">
            <v>0</v>
          </cell>
          <cell r="AQ328">
            <v>2664495000</v>
          </cell>
          <cell r="DZ328">
            <v>474</v>
          </cell>
          <cell r="ED328">
            <v>705994806.70888424</v>
          </cell>
          <cell r="EF328">
            <v>0</v>
          </cell>
          <cell r="EH328">
            <v>0.36130345806616265</v>
          </cell>
          <cell r="EJ328">
            <v>0.52997097010878236</v>
          </cell>
          <cell r="EL328">
            <v>0.10872557182505503</v>
          </cell>
          <cell r="EQ328" t="str">
            <v>Serv. Méd. Hospit., Análises e Diagnósticos</v>
          </cell>
        </row>
        <row r="329">
          <cell r="A329" t="str">
            <v>MOVIDA</v>
          </cell>
          <cell r="C329" t="str">
            <v>NM</v>
          </cell>
          <cell r="F329" t="str">
            <v>FOLLOW-ON</v>
          </cell>
          <cell r="G329" t="str">
            <v>ICVM 476</v>
          </cell>
          <cell r="J329">
            <v>43675</v>
          </cell>
          <cell r="M329" t="str">
            <v>BTG Pactual</v>
          </cell>
          <cell r="W329">
            <v>15</v>
          </cell>
          <cell r="X329">
            <v>43671</v>
          </cell>
          <cell r="AO329">
            <v>532500000</v>
          </cell>
          <cell r="AP329">
            <v>300000000</v>
          </cell>
          <cell r="AQ329">
            <v>832500000</v>
          </cell>
          <cell r="DZ329">
            <v>942</v>
          </cell>
          <cell r="ED329">
            <v>219604843.17708194</v>
          </cell>
          <cell r="EF329">
            <v>3.6036036036036037E-4</v>
          </cell>
          <cell r="EH329">
            <v>0.49053855855855855</v>
          </cell>
          <cell r="EJ329">
            <v>0.44159261261261262</v>
          </cell>
          <cell r="EL329">
            <v>6.7508468468468474E-2</v>
          </cell>
          <cell r="EQ329" t="str">
            <v>Aluguel de carros</v>
          </cell>
        </row>
        <row r="330">
          <cell r="A330" t="str">
            <v>BANCO INTER</v>
          </cell>
          <cell r="C330" t="str">
            <v>N2</v>
          </cell>
          <cell r="F330" t="str">
            <v>FOLLOW-ON</v>
          </cell>
          <cell r="G330" t="str">
            <v>ICVM 476</v>
          </cell>
          <cell r="J330">
            <v>43677</v>
          </cell>
          <cell r="M330" t="str">
            <v>Bradesco BBI</v>
          </cell>
          <cell r="W330">
            <v>13.33</v>
          </cell>
          <cell r="X330">
            <v>43675</v>
          </cell>
          <cell r="AO330">
            <v>1247688000</v>
          </cell>
          <cell r="AP330">
            <v>0</v>
          </cell>
          <cell r="AQ330">
            <v>1247688000</v>
          </cell>
          <cell r="DZ330">
            <v>3632</v>
          </cell>
          <cell r="ED330">
            <v>331400037.18558264</v>
          </cell>
          <cell r="EF330">
            <v>0</v>
          </cell>
          <cell r="EH330">
            <v>0.65372928418803422</v>
          </cell>
          <cell r="EJ330">
            <v>2.7471153846153847E-2</v>
          </cell>
          <cell r="EL330">
            <v>0.318799561965812</v>
          </cell>
          <cell r="EQ330" t="str">
            <v>Bancos</v>
          </cell>
        </row>
        <row r="331">
          <cell r="A331" t="str">
            <v>PETROBRAS BR</v>
          </cell>
          <cell r="C331" t="str">
            <v>NM</v>
          </cell>
          <cell r="F331" t="str">
            <v>FOLLOW-ON</v>
          </cell>
          <cell r="G331" t="str">
            <v>ICVM 400</v>
          </cell>
          <cell r="J331">
            <v>43671</v>
          </cell>
          <cell r="M331" t="str">
            <v>JP Morgan</v>
          </cell>
          <cell r="W331">
            <v>24.5</v>
          </cell>
          <cell r="X331">
            <v>43669</v>
          </cell>
          <cell r="AO331">
            <v>0</v>
          </cell>
          <cell r="AP331">
            <v>9633093750</v>
          </cell>
          <cell r="AQ331">
            <v>9633093750</v>
          </cell>
          <cell r="BL331">
            <v>7348</v>
          </cell>
          <cell r="DZ331">
            <v>8282</v>
          </cell>
          <cell r="ED331">
            <v>2545138246.7172184</v>
          </cell>
          <cell r="EF331">
            <v>9.6246345573040848E-2</v>
          </cell>
          <cell r="EH331">
            <v>0.4537832052137975</v>
          </cell>
          <cell r="EJ331">
            <v>0.44569897313622636</v>
          </cell>
          <cell r="EL331">
            <v>4.2714760769353042E-3</v>
          </cell>
          <cell r="EQ331" t="str">
            <v>Exploração. Refino e Distribuição</v>
          </cell>
        </row>
        <row r="332">
          <cell r="A332" t="str">
            <v>TRISUL</v>
          </cell>
          <cell r="C332" t="str">
            <v>NM</v>
          </cell>
          <cell r="F332" t="str">
            <v>FOLLOW-ON</v>
          </cell>
          <cell r="G332" t="str">
            <v>ICVM 476</v>
          </cell>
          <cell r="J332">
            <v>43724</v>
          </cell>
          <cell r="M332" t="str">
            <v>BTG Pactual</v>
          </cell>
          <cell r="W332">
            <v>10</v>
          </cell>
          <cell r="X332">
            <v>43720</v>
          </cell>
          <cell r="AO332">
            <v>405000000</v>
          </cell>
          <cell r="AP332">
            <v>0</v>
          </cell>
          <cell r="AQ332">
            <v>405000000</v>
          </cell>
          <cell r="DZ332">
            <v>761</v>
          </cell>
          <cell r="ED332">
            <v>99089841.456253663</v>
          </cell>
          <cell r="EF332">
            <v>0</v>
          </cell>
          <cell r="EH332">
            <v>0.82014575308641979</v>
          </cell>
          <cell r="EJ332">
            <v>0.11024691358024691</v>
          </cell>
          <cell r="EL332">
            <v>6.9607333333333327E-2</v>
          </cell>
          <cell r="EQ332" t="str">
            <v>Incorporações</v>
          </cell>
        </row>
        <row r="333">
          <cell r="A333" t="str">
            <v>BANCO PAN</v>
          </cell>
          <cell r="C333" t="str">
            <v>N1</v>
          </cell>
          <cell r="F333" t="str">
            <v>FOLLOW-ON</v>
          </cell>
          <cell r="G333" t="str">
            <v>ICVM 476</v>
          </cell>
          <cell r="J333">
            <v>43731</v>
          </cell>
          <cell r="M333" t="str">
            <v>BTG Pactual</v>
          </cell>
          <cell r="W333">
            <v>8.25</v>
          </cell>
          <cell r="X333">
            <v>43727</v>
          </cell>
          <cell r="AO333">
            <v>521812500</v>
          </cell>
          <cell r="AP333">
            <v>521812500</v>
          </cell>
          <cell r="AQ333">
            <v>1043625000</v>
          </cell>
          <cell r="DZ333">
            <v>671</v>
          </cell>
          <cell r="ED333">
            <v>250065893.51607803</v>
          </cell>
          <cell r="EF333">
            <v>1.5352332015810277E-3</v>
          </cell>
          <cell r="EH333">
            <v>0.64222959683794467</v>
          </cell>
          <cell r="EJ333">
            <v>0.32960474308300397</v>
          </cell>
          <cell r="EL333">
            <v>2.6630426877470356E-2</v>
          </cell>
          <cell r="EQ333" t="str">
            <v>Bancos</v>
          </cell>
        </row>
        <row r="334">
          <cell r="A334" t="str">
            <v>SINQIA</v>
          </cell>
          <cell r="C334" t="str">
            <v>NM</v>
          </cell>
          <cell r="F334" t="str">
            <v>FOLLOW-ON</v>
          </cell>
          <cell r="G334" t="str">
            <v>ICVM 476</v>
          </cell>
          <cell r="J334">
            <v>43727</v>
          </cell>
          <cell r="M334" t="str">
            <v>BTG Pactual</v>
          </cell>
          <cell r="W334">
            <v>62</v>
          </cell>
          <cell r="X334">
            <v>43725</v>
          </cell>
          <cell r="AO334">
            <v>362700000</v>
          </cell>
          <cell r="AP334">
            <v>0</v>
          </cell>
          <cell r="AQ334">
            <v>362700000</v>
          </cell>
          <cell r="DZ334">
            <v>1797</v>
          </cell>
          <cell r="ED334">
            <v>87623511.22170414</v>
          </cell>
          <cell r="EF334">
            <v>1.0085470085470086E-3</v>
          </cell>
          <cell r="EH334">
            <v>0.82035811965811967</v>
          </cell>
          <cell r="EJ334">
            <v>0.11709401709401709</v>
          </cell>
          <cell r="EL334">
            <v>6.1539316239316237E-2</v>
          </cell>
          <cell r="EQ334" t="str">
            <v>Programas e Serviços</v>
          </cell>
        </row>
        <row r="335">
          <cell r="A335" t="str">
            <v>OMEGA GER</v>
          </cell>
          <cell r="C335" t="str">
            <v>NM</v>
          </cell>
          <cell r="F335" t="str">
            <v>FOLLOW-ON</v>
          </cell>
          <cell r="G335" t="str">
            <v>ICVM 476</v>
          </cell>
          <cell r="J335">
            <v>43735</v>
          </cell>
          <cell r="M335" t="str">
            <v>BofA Merrill Lynch</v>
          </cell>
          <cell r="W335">
            <v>30</v>
          </cell>
          <cell r="X335">
            <v>43733</v>
          </cell>
          <cell r="AO335">
            <v>830769240</v>
          </cell>
          <cell r="AP335">
            <v>0</v>
          </cell>
          <cell r="AQ335">
            <v>830769240</v>
          </cell>
          <cell r="BL335">
            <v>148</v>
          </cell>
          <cell r="DZ335">
            <v>358</v>
          </cell>
          <cell r="ED335">
            <v>199766571.28429559</v>
          </cell>
          <cell r="EF335">
            <v>1.1244638763948458E-3</v>
          </cell>
          <cell r="EH335">
            <v>0.64772701502525543</v>
          </cell>
          <cell r="EJ335">
            <v>0.35114852109834976</v>
          </cell>
          <cell r="EL335">
            <v>0</v>
          </cell>
          <cell r="EQ335" t="str">
            <v>Energia Elétrica</v>
          </cell>
        </row>
        <row r="336">
          <cell r="A336" t="str">
            <v>EZTEC</v>
          </cell>
          <cell r="C336" t="str">
            <v>NM</v>
          </cell>
          <cell r="F336" t="str">
            <v>FOLLOW-ON</v>
          </cell>
          <cell r="G336" t="str">
            <v>ICVM 476</v>
          </cell>
          <cell r="J336">
            <v>43734</v>
          </cell>
          <cell r="M336" t="str">
            <v>BTG Pactual</v>
          </cell>
          <cell r="W336">
            <v>36.25</v>
          </cell>
          <cell r="X336">
            <v>43732</v>
          </cell>
          <cell r="AO336">
            <v>978750000</v>
          </cell>
          <cell r="AP336">
            <v>0</v>
          </cell>
          <cell r="AQ336">
            <v>978750000</v>
          </cell>
          <cell r="DZ336">
            <v>889</v>
          </cell>
          <cell r="ED336">
            <v>236019677.34934533</v>
          </cell>
          <cell r="EF336">
            <v>0</v>
          </cell>
          <cell r="EH336">
            <v>0.66978566666666661</v>
          </cell>
          <cell r="EJ336">
            <v>0.20166666666666666</v>
          </cell>
          <cell r="EL336">
            <v>0.12854766666666667</v>
          </cell>
          <cell r="EQ336" t="str">
            <v>Incorporações</v>
          </cell>
        </row>
        <row r="337">
          <cell r="A337" t="str">
            <v>HELBOR</v>
          </cell>
          <cell r="C337" t="str">
            <v>NM</v>
          </cell>
          <cell r="F337" t="str">
            <v>FOLLOW-ON</v>
          </cell>
          <cell r="G337" t="str">
            <v>ICVM 476</v>
          </cell>
          <cell r="J337">
            <v>43752</v>
          </cell>
          <cell r="M337" t="str">
            <v>BTG Pactual</v>
          </cell>
          <cell r="W337">
            <v>2.65</v>
          </cell>
          <cell r="X337">
            <v>43718</v>
          </cell>
          <cell r="AO337">
            <v>560057625</v>
          </cell>
          <cell r="AP337">
            <v>0</v>
          </cell>
          <cell r="AQ337">
            <v>560057625</v>
          </cell>
          <cell r="DZ337">
            <v>581</v>
          </cell>
          <cell r="ED337">
            <v>135728770.32692727</v>
          </cell>
          <cell r="EF337">
            <v>3.9135526455871391E-3</v>
          </cell>
          <cell r="EH337">
            <v>0.47377299880525686</v>
          </cell>
          <cell r="EJ337">
            <v>0.15100507470101848</v>
          </cell>
          <cell r="EL337">
            <v>0.37130837384813753</v>
          </cell>
          <cell r="EQ337" t="str">
            <v>Incorporações</v>
          </cell>
        </row>
        <row r="338">
          <cell r="A338" t="str">
            <v>VIVARA S.A.</v>
          </cell>
          <cell r="C338" t="str">
            <v>NM</v>
          </cell>
          <cell r="F338" t="str">
            <v>IPO</v>
          </cell>
          <cell r="G338" t="str">
            <v>ICVM 400</v>
          </cell>
          <cell r="J338">
            <v>43748</v>
          </cell>
          <cell r="M338" t="str">
            <v>Itaú BBA</v>
          </cell>
          <cell r="W338">
            <v>24</v>
          </cell>
          <cell r="X338">
            <v>43746</v>
          </cell>
          <cell r="AO338">
            <v>453471888</v>
          </cell>
          <cell r="AP338">
            <v>1787377536</v>
          </cell>
          <cell r="AQ338">
            <v>2240849424</v>
          </cell>
          <cell r="BL338">
            <v>26986</v>
          </cell>
          <cell r="DZ338">
            <v>27872</v>
          </cell>
          <cell r="ED338">
            <v>544622535.9095881</v>
          </cell>
          <cell r="EF338">
            <v>0.12756181833513555</v>
          </cell>
          <cell r="EH338">
            <v>0.56323525110119022</v>
          </cell>
          <cell r="EJ338">
            <v>0.30499752305768485</v>
          </cell>
          <cell r="EL338">
            <v>4.2054075059893324E-3</v>
          </cell>
          <cell r="EQ338" t="str">
            <v>Acessórios</v>
          </cell>
        </row>
        <row r="339">
          <cell r="A339" t="str">
            <v>BRASIL</v>
          </cell>
          <cell r="C339" t="str">
            <v>NM</v>
          </cell>
          <cell r="F339" t="str">
            <v>FOLLOW-ON</v>
          </cell>
          <cell r="G339" t="str">
            <v>ICVM 400</v>
          </cell>
          <cell r="J339">
            <v>43759</v>
          </cell>
          <cell r="M339" t="str">
            <v>Caixa</v>
          </cell>
          <cell r="W339">
            <v>44.05</v>
          </cell>
          <cell r="X339">
            <v>43755</v>
          </cell>
          <cell r="AO339">
            <v>0</v>
          </cell>
          <cell r="AP339">
            <v>5836921764.8499994</v>
          </cell>
          <cell r="AQ339">
            <v>5836921764.8499994</v>
          </cell>
          <cell r="BL339">
            <v>29222</v>
          </cell>
          <cell r="DZ339">
            <v>30039</v>
          </cell>
          <cell r="ED339">
            <v>1412648361.4922917</v>
          </cell>
          <cell r="EF339">
            <v>0.31500656453414894</v>
          </cell>
          <cell r="EH339">
            <v>0.37245822452031252</v>
          </cell>
          <cell r="EJ339">
            <v>0.30210823167428835</v>
          </cell>
          <cell r="EL339">
            <v>9.0145227861131334E-3</v>
          </cell>
          <cell r="EQ339" t="str">
            <v>Bancos</v>
          </cell>
        </row>
        <row r="340">
          <cell r="A340" t="str">
            <v>LOG COM PROP</v>
          </cell>
          <cell r="C340" t="str">
            <v>NM</v>
          </cell>
          <cell r="F340" t="str">
            <v>FOLLOW-ON</v>
          </cell>
          <cell r="G340" t="str">
            <v>ICVM 476</v>
          </cell>
          <cell r="J340">
            <v>43762</v>
          </cell>
          <cell r="M340" t="str">
            <v>BTG Pactual</v>
          </cell>
          <cell r="W340">
            <v>22.5</v>
          </cell>
          <cell r="X340">
            <v>43760</v>
          </cell>
          <cell r="AO340">
            <v>637875000</v>
          </cell>
          <cell r="AP340">
            <v>0</v>
          </cell>
          <cell r="AQ340">
            <v>637875000</v>
          </cell>
          <cell r="DZ340">
            <v>988</v>
          </cell>
          <cell r="ED340">
            <v>159114719.74855947</v>
          </cell>
          <cell r="EF340">
            <v>0</v>
          </cell>
          <cell r="EH340">
            <v>0.38003679012345681</v>
          </cell>
          <cell r="EJ340">
            <v>0.18307904761904761</v>
          </cell>
          <cell r="EL340">
            <v>0.4368841622574956</v>
          </cell>
          <cell r="EQ340" t="str">
            <v>Exploração de Imóveis</v>
          </cell>
        </row>
        <row r="341">
          <cell r="A341" t="str">
            <v>CYRE COM-CCP</v>
          </cell>
          <cell r="C341" t="str">
            <v>NM</v>
          </cell>
          <cell r="F341" t="str">
            <v>FOLLOW-ON</v>
          </cell>
          <cell r="G341" t="str">
            <v>ICVM 400</v>
          </cell>
          <cell r="J341">
            <v>43768</v>
          </cell>
          <cell r="M341" t="str">
            <v>Bradesco BBI</v>
          </cell>
          <cell r="W341">
            <v>19</v>
          </cell>
          <cell r="X341">
            <v>43766</v>
          </cell>
          <cell r="AO341">
            <v>863550000</v>
          </cell>
          <cell r="AP341">
            <v>0</v>
          </cell>
          <cell r="AQ341">
            <v>863550000</v>
          </cell>
          <cell r="BL341">
            <v>1087</v>
          </cell>
          <cell r="DZ341">
            <v>1329</v>
          </cell>
          <cell r="ED341">
            <v>214888269.54660827</v>
          </cell>
          <cell r="EF341">
            <v>9.2730434782608701E-2</v>
          </cell>
          <cell r="EH341">
            <v>0.56746115217391302</v>
          </cell>
          <cell r="EJ341">
            <v>0.28455195652173915</v>
          </cell>
          <cell r="EL341">
            <v>5.5256456521739133E-2</v>
          </cell>
          <cell r="EQ341" t="str">
            <v>Exploração de Imóveis</v>
          </cell>
        </row>
        <row r="342">
          <cell r="A342" t="str">
            <v>LOPES BRASIL</v>
          </cell>
          <cell r="C342" t="str">
            <v>NM</v>
          </cell>
          <cell r="F342" t="str">
            <v>FOLLOW-ON</v>
          </cell>
          <cell r="G342" t="str">
            <v>ICVM 476</v>
          </cell>
          <cell r="J342">
            <v>43769</v>
          </cell>
          <cell r="M342" t="str">
            <v>Itaú BBA</v>
          </cell>
          <cell r="W342">
            <v>7</v>
          </cell>
          <cell r="X342">
            <v>43767</v>
          </cell>
          <cell r="AO342">
            <v>147000000</v>
          </cell>
          <cell r="AP342">
            <v>0</v>
          </cell>
          <cell r="AQ342">
            <v>147000000</v>
          </cell>
          <cell r="BL342">
            <v>456</v>
          </cell>
          <cell r="DZ342">
            <v>548</v>
          </cell>
          <cell r="ED342">
            <v>36712369.820933543</v>
          </cell>
          <cell r="EF342">
            <v>1.0624095238095238E-2</v>
          </cell>
          <cell r="EH342">
            <v>0.72731090476190474</v>
          </cell>
          <cell r="EJ342">
            <v>0.26196585714285714</v>
          </cell>
          <cell r="EL342">
            <v>9.9142857142857146E-5</v>
          </cell>
          <cell r="EQ342" t="str">
            <v>Intermediação Imobiliária</v>
          </cell>
        </row>
        <row r="343">
          <cell r="A343" t="str">
            <v>BANCO BMG</v>
          </cell>
          <cell r="C343" t="str">
            <v>N1</v>
          </cell>
          <cell r="F343" t="str">
            <v>IPO</v>
          </cell>
          <cell r="G343" t="str">
            <v>ICVM 400</v>
          </cell>
          <cell r="J343">
            <v>43766</v>
          </cell>
          <cell r="M343" t="str">
            <v>XP Investimentos</v>
          </cell>
          <cell r="W343">
            <v>11.6</v>
          </cell>
          <cell r="X343">
            <v>43762</v>
          </cell>
          <cell r="AO343">
            <v>1200000013.2</v>
          </cell>
          <cell r="AP343">
            <v>191304358</v>
          </cell>
          <cell r="AQ343">
            <v>1391304371.2</v>
          </cell>
          <cell r="BL343">
            <v>4703</v>
          </cell>
          <cell r="DZ343">
            <v>5252</v>
          </cell>
          <cell r="ED343">
            <v>349635456.28628153</v>
          </cell>
          <cell r="EF343">
            <v>0.10140722788452047</v>
          </cell>
          <cell r="EH343">
            <v>0.61375558724868851</v>
          </cell>
          <cell r="EJ343">
            <v>0.2746679579786524</v>
          </cell>
          <cell r="EL343">
            <v>1.0169226888138504E-2</v>
          </cell>
          <cell r="EQ343" t="str">
            <v>Bancos</v>
          </cell>
        </row>
        <row r="344">
          <cell r="A344" t="str">
            <v>CEA MODAS</v>
          </cell>
          <cell r="C344" t="str">
            <v>NM</v>
          </cell>
          <cell r="F344" t="str">
            <v>IPO</v>
          </cell>
          <cell r="G344" t="str">
            <v>ICVM 400</v>
          </cell>
          <cell r="J344">
            <v>43766</v>
          </cell>
          <cell r="M344" t="str">
            <v>Morgan Stanley</v>
          </cell>
          <cell r="W344">
            <v>16.5</v>
          </cell>
          <cell r="X344">
            <v>43762</v>
          </cell>
          <cell r="AO344">
            <v>813698622</v>
          </cell>
          <cell r="AP344">
            <v>941070009</v>
          </cell>
          <cell r="AQ344">
            <v>1754768631</v>
          </cell>
          <cell r="BL344">
            <v>4247</v>
          </cell>
          <cell r="DZ344">
            <v>4724</v>
          </cell>
          <cell r="ED344">
            <v>440974199.23102057</v>
          </cell>
          <cell r="EF344">
            <v>9.6985583330420844E-2</v>
          </cell>
          <cell r="EH344">
            <v>0.50624742055424221</v>
          </cell>
          <cell r="EJ344">
            <v>0.39321048149407806</v>
          </cell>
          <cell r="EL344">
            <v>3.5565146212588202E-3</v>
          </cell>
          <cell r="EQ344" t="str">
            <v>Tecidos. Vestuário e Calçados</v>
          </cell>
        </row>
        <row r="345">
          <cell r="A345" t="str">
            <v>MAGAZ LUIZA</v>
          </cell>
          <cell r="C345" t="str">
            <v>NM</v>
          </cell>
          <cell r="F345" t="str">
            <v>FOLLOW-ON</v>
          </cell>
          <cell r="G345" t="str">
            <v>ICVM 476</v>
          </cell>
          <cell r="J345">
            <v>43783</v>
          </cell>
          <cell r="M345" t="str">
            <v>Itaú BBA</v>
          </cell>
          <cell r="W345">
            <v>43</v>
          </cell>
          <cell r="X345">
            <v>43781</v>
          </cell>
          <cell r="AO345">
            <v>4300000000</v>
          </cell>
          <cell r="AP345">
            <v>430000000</v>
          </cell>
          <cell r="AQ345">
            <v>4730000000</v>
          </cell>
          <cell r="BL345">
            <v>2870</v>
          </cell>
          <cell r="DZ345">
            <v>3803</v>
          </cell>
          <cell r="ED345">
            <v>1130740360.0200808</v>
          </cell>
          <cell r="EF345">
            <v>2.447681818181818E-3</v>
          </cell>
          <cell r="EH345">
            <v>0.56667219999999996</v>
          </cell>
          <cell r="EJ345">
            <v>0.42326165454545456</v>
          </cell>
          <cell r="EL345">
            <v>7.6184636363636361E-3</v>
          </cell>
          <cell r="EQ345" t="str">
            <v>Eletrodomésticos</v>
          </cell>
        </row>
        <row r="346">
          <cell r="A346" t="str">
            <v>JHSF PART</v>
          </cell>
          <cell r="C346" t="str">
            <v>NM</v>
          </cell>
          <cell r="F346" t="str">
            <v>FOLLOW-ON</v>
          </cell>
          <cell r="G346" t="str">
            <v>ICVM 476</v>
          </cell>
          <cell r="J346">
            <v>43787</v>
          </cell>
          <cell r="M346" t="str">
            <v>BTG Pactual</v>
          </cell>
          <cell r="W346">
            <v>4.75</v>
          </cell>
          <cell r="X346">
            <v>43782</v>
          </cell>
          <cell r="AO346">
            <v>513000000</v>
          </cell>
          <cell r="AP346">
            <v>0</v>
          </cell>
          <cell r="AQ346">
            <v>513000000</v>
          </cell>
          <cell r="DZ346">
            <v>1619</v>
          </cell>
          <cell r="ED346">
            <v>122648050.30243623</v>
          </cell>
          <cell r="EF346">
            <v>0</v>
          </cell>
          <cell r="EH346">
            <v>0.55287562962962966</v>
          </cell>
          <cell r="EJ346">
            <v>0.38842592592592595</v>
          </cell>
          <cell r="EL346">
            <v>5.8698444444444442E-2</v>
          </cell>
          <cell r="EQ346" t="str">
            <v>Incorporações</v>
          </cell>
        </row>
        <row r="347">
          <cell r="A347" t="str">
            <v>LOG-IN</v>
          </cell>
          <cell r="C347" t="str">
            <v>NM</v>
          </cell>
          <cell r="F347" t="str">
            <v>FOLLOW-ON</v>
          </cell>
          <cell r="G347" t="str">
            <v>ICVM 476</v>
          </cell>
          <cell r="J347">
            <v>43794</v>
          </cell>
          <cell r="M347" t="str">
            <v>Goldman Sachs</v>
          </cell>
          <cell r="W347">
            <v>14.5</v>
          </cell>
          <cell r="X347">
            <v>43790</v>
          </cell>
          <cell r="AO347">
            <v>633650000</v>
          </cell>
          <cell r="AP347">
            <v>0</v>
          </cell>
          <cell r="AQ347">
            <v>633650000</v>
          </cell>
          <cell r="DZ347">
            <v>421</v>
          </cell>
          <cell r="ED347">
            <v>148887426.86623278</v>
          </cell>
          <cell r="EF347">
            <v>0</v>
          </cell>
          <cell r="EH347">
            <v>0.56635983981693361</v>
          </cell>
          <cell r="EJ347">
            <v>0.35230114416475972</v>
          </cell>
          <cell r="EL347">
            <v>8.1339016018306634E-2</v>
          </cell>
          <cell r="EQ347" t="str">
            <v>Transporte Hidroviário</v>
          </cell>
        </row>
        <row r="348">
          <cell r="A348" t="str">
            <v>BR PROPERT</v>
          </cell>
          <cell r="C348" t="str">
            <v>NM</v>
          </cell>
          <cell r="F348" t="str">
            <v>FOLLOW-ON</v>
          </cell>
          <cell r="G348" t="str">
            <v>ICVM 476</v>
          </cell>
          <cell r="J348">
            <v>43794</v>
          </cell>
          <cell r="M348" t="str">
            <v>Itaú BBA</v>
          </cell>
          <cell r="W348">
            <v>12.5</v>
          </cell>
          <cell r="X348">
            <v>43790</v>
          </cell>
          <cell r="AO348">
            <v>1054687500</v>
          </cell>
          <cell r="AP348">
            <v>0</v>
          </cell>
          <cell r="AQ348">
            <v>1054687500</v>
          </cell>
          <cell r="BL348">
            <v>51</v>
          </cell>
          <cell r="DZ348">
            <v>299</v>
          </cell>
          <cell r="ED348">
            <v>247817735.37912077</v>
          </cell>
          <cell r="EF348">
            <v>4.4242962962962962E-4</v>
          </cell>
          <cell r="EH348">
            <v>0.53270363259259257</v>
          </cell>
          <cell r="EJ348">
            <v>0.46446416592592593</v>
          </cell>
          <cell r="EL348">
            <v>2.3897718518518518E-3</v>
          </cell>
          <cell r="EQ348" t="str">
            <v>Exploração de Imóveis</v>
          </cell>
        </row>
        <row r="349">
          <cell r="A349" t="str">
            <v>LOJAS MARISA</v>
          </cell>
          <cell r="C349" t="str">
            <v>NM</v>
          </cell>
          <cell r="F349" t="str">
            <v>FOLLOW-ON</v>
          </cell>
          <cell r="G349" t="str">
            <v>ICVM 476</v>
          </cell>
          <cell r="J349">
            <v>43805</v>
          </cell>
          <cell r="M349" t="str">
            <v>Itaú BBA</v>
          </cell>
          <cell r="W349">
            <v>10</v>
          </cell>
          <cell r="X349">
            <v>43803</v>
          </cell>
          <cell r="AO349">
            <v>567708330</v>
          </cell>
          <cell r="AP349">
            <v>0</v>
          </cell>
          <cell r="AQ349">
            <v>567708330</v>
          </cell>
          <cell r="BL349">
            <v>130</v>
          </cell>
          <cell r="DZ349">
            <v>374</v>
          </cell>
          <cell r="ED349">
            <v>135870648.34980732</v>
          </cell>
          <cell r="EF349">
            <v>3.3597181848644005E-3</v>
          </cell>
          <cell r="EH349">
            <v>0.66781627107708641</v>
          </cell>
          <cell r="EJ349">
            <v>0.29617224394082786</v>
          </cell>
          <cell r="EL349">
            <v>3.2651766797221385E-2</v>
          </cell>
          <cell r="EQ349" t="str">
            <v>Tecidos. Vestuário e Calçados</v>
          </cell>
        </row>
        <row r="350">
          <cell r="A350" t="str">
            <v>ALIANSCSONAE</v>
          </cell>
          <cell r="C350" t="str">
            <v>NM</v>
          </cell>
          <cell r="F350" t="str">
            <v>FOLLOW-ON</v>
          </cell>
          <cell r="G350" t="str">
            <v>ICVM 476</v>
          </cell>
          <cell r="J350">
            <v>43808</v>
          </cell>
          <cell r="M350" t="str">
            <v>Bank of America</v>
          </cell>
          <cell r="W350">
            <v>43</v>
          </cell>
          <cell r="X350">
            <v>43804</v>
          </cell>
          <cell r="AO350">
            <v>1190769244</v>
          </cell>
          <cell r="AP350">
            <v>0</v>
          </cell>
          <cell r="AQ350">
            <v>1190769244</v>
          </cell>
          <cell r="DZ350">
            <v>443</v>
          </cell>
          <cell r="ED350">
            <v>286911607.35368532</v>
          </cell>
          <cell r="EF350">
            <v>9.4249998952777793E-4</v>
          </cell>
          <cell r="EH350">
            <v>0.49793823613401961</v>
          </cell>
          <cell r="EJ350">
            <v>0.36040657932881581</v>
          </cell>
          <cell r="EL350">
            <v>0.14071268454763683</v>
          </cell>
          <cell r="EQ350" t="str">
            <v>Exploração de Imóveis</v>
          </cell>
        </row>
        <row r="351">
          <cell r="A351" t="str">
            <v>INTERMEDICA</v>
          </cell>
          <cell r="C351" t="str">
            <v>NM</v>
          </cell>
          <cell r="F351" t="str">
            <v>FOLLOW-ON</v>
          </cell>
          <cell r="G351" t="str">
            <v>ICVM 476</v>
          </cell>
          <cell r="J351">
            <v>43812</v>
          </cell>
          <cell r="M351" t="str">
            <v>Itaú BBA</v>
          </cell>
          <cell r="W351">
            <v>57</v>
          </cell>
          <cell r="X351">
            <v>43810</v>
          </cell>
          <cell r="AO351">
            <v>3705000000</v>
          </cell>
          <cell r="AP351">
            <v>1296750000</v>
          </cell>
          <cell r="AQ351">
            <v>5001750000</v>
          </cell>
          <cell r="BL351">
            <v>662</v>
          </cell>
          <cell r="DZ351">
            <v>1376</v>
          </cell>
          <cell r="ED351">
            <v>1221458399.4725146</v>
          </cell>
          <cell r="EF351">
            <v>6.2811396011396015E-4</v>
          </cell>
          <cell r="EH351">
            <v>0.44429349287749287</v>
          </cell>
          <cell r="EJ351">
            <v>0.55414322507122504</v>
          </cell>
          <cell r="EL351">
            <v>9.351680911680912E-4</v>
          </cell>
          <cell r="EQ351" t="str">
            <v>Serv.Méd.Hospit..Análises e Diagnósticos</v>
          </cell>
        </row>
        <row r="352">
          <cell r="A352" t="str">
            <v>LOCAMERICA</v>
          </cell>
          <cell r="C352" t="str">
            <v>NM</v>
          </cell>
          <cell r="F352" t="str">
            <v>FOLLOW-ON</v>
          </cell>
          <cell r="G352" t="str">
            <v>ICVM 476</v>
          </cell>
          <cell r="J352">
            <v>43818</v>
          </cell>
          <cell r="M352" t="str">
            <v>Itaú BBA</v>
          </cell>
          <cell r="W352">
            <v>19.5</v>
          </cell>
          <cell r="X352">
            <v>43816</v>
          </cell>
          <cell r="AO352">
            <v>1189500000</v>
          </cell>
          <cell r="AP352">
            <v>639771249</v>
          </cell>
          <cell r="AQ352">
            <v>1829271249</v>
          </cell>
          <cell r="BL352">
            <v>593</v>
          </cell>
          <cell r="DZ352">
            <v>1061</v>
          </cell>
          <cell r="ED352">
            <v>450193500.11074746</v>
          </cell>
          <cell r="EF352">
            <v>2.3667826749951834E-3</v>
          </cell>
          <cell r="EH352">
            <v>0.48046370541299643</v>
          </cell>
          <cell r="EJ352">
            <v>0.50952361794869061</v>
          </cell>
          <cell r="EL352">
            <v>7.6458939633178482E-3</v>
          </cell>
          <cell r="EQ352" t="str">
            <v>Aluguel de carros</v>
          </cell>
        </row>
        <row r="353">
          <cell r="A353" t="str">
            <v>MARFRIG</v>
          </cell>
          <cell r="C353" t="str">
            <v>NM</v>
          </cell>
          <cell r="F353" t="str">
            <v>FOLLOW-ON</v>
          </cell>
          <cell r="G353" t="str">
            <v>ICVM 476</v>
          </cell>
          <cell r="J353">
            <v>43818</v>
          </cell>
          <cell r="M353" t="str">
            <v>Santander</v>
          </cell>
          <cell r="W353">
            <v>10</v>
          </cell>
          <cell r="X353">
            <v>43816</v>
          </cell>
          <cell r="AO353">
            <v>900900910</v>
          </cell>
          <cell r="AP353">
            <v>2096484270</v>
          </cell>
          <cell r="AQ353">
            <v>2997385180</v>
          </cell>
          <cell r="BL353">
            <v>614</v>
          </cell>
          <cell r="DZ353">
            <v>681</v>
          </cell>
          <cell r="ED353">
            <v>737672625.69832408</v>
          </cell>
          <cell r="EF353">
            <v>0.14105915143011416</v>
          </cell>
          <cell r="EH353">
            <v>0.39980733140209895</v>
          </cell>
          <cell r="EJ353">
            <v>0.45913351716778689</v>
          </cell>
          <cell r="EL353">
            <v>0</v>
          </cell>
          <cell r="EQ353" t="str">
            <v>Carnes e Derivados</v>
          </cell>
        </row>
        <row r="354">
          <cell r="A354" t="str">
            <v>LE LIS BLANC</v>
          </cell>
          <cell r="C354" t="str">
            <v>NM</v>
          </cell>
          <cell r="F354" t="str">
            <v>FOLLOW-ON</v>
          </cell>
          <cell r="G354" t="str">
            <v>ICVM 476</v>
          </cell>
          <cell r="J354">
            <v>43819</v>
          </cell>
          <cell r="M354" t="str">
            <v>Santander</v>
          </cell>
          <cell r="W354">
            <v>15</v>
          </cell>
          <cell r="X354">
            <v>43817</v>
          </cell>
          <cell r="AO354">
            <v>258750000</v>
          </cell>
          <cell r="AP354">
            <v>0</v>
          </cell>
          <cell r="AQ354">
            <v>258750000</v>
          </cell>
          <cell r="BL354">
            <v>121</v>
          </cell>
          <cell r="DZ354">
            <v>141</v>
          </cell>
          <cell r="ED354">
            <v>63454888.785344675</v>
          </cell>
          <cell r="EF354">
            <v>0.2988846956521739</v>
          </cell>
          <cell r="EH354">
            <v>0.6967674782608696</v>
          </cell>
          <cell r="EJ354">
            <v>4.3478260869565218E-3</v>
          </cell>
          <cell r="EL354">
            <v>0</v>
          </cell>
          <cell r="EQ354" t="str">
            <v>Tecidos. Vestuário e Calçados</v>
          </cell>
        </row>
        <row r="355">
          <cell r="A355" t="str">
            <v>MINERVA</v>
          </cell>
          <cell r="C355" t="str">
            <v>NM</v>
          </cell>
          <cell r="F355" t="str">
            <v>FOLLOW-ON</v>
          </cell>
          <cell r="G355" t="str">
            <v>ICVM 476</v>
          </cell>
          <cell r="J355">
            <v>43857</v>
          </cell>
          <cell r="M355" t="str">
            <v>BTG Pactual</v>
          </cell>
          <cell r="W355">
            <v>13</v>
          </cell>
          <cell r="X355">
            <v>43853</v>
          </cell>
          <cell r="AO355">
            <v>1040000000</v>
          </cell>
          <cell r="AP355">
            <v>195000000</v>
          </cell>
          <cell r="AQ355">
            <v>1235000000</v>
          </cell>
          <cell r="DZ355">
            <v>1226</v>
          </cell>
          <cell r="ED355">
            <v>292681770.78396058</v>
          </cell>
          <cell r="EF355">
            <v>0</v>
          </cell>
          <cell r="EH355">
            <v>0.47924267368421053</v>
          </cell>
          <cell r="EJ355">
            <v>0.42518526315789473</v>
          </cell>
          <cell r="EL355">
            <v>9.5572063157894738E-2</v>
          </cell>
          <cell r="EQ355" t="str">
            <v>Carnes e Derivados</v>
          </cell>
        </row>
        <row r="356">
          <cell r="A356" t="str">
            <v>ANIMA</v>
          </cell>
          <cell r="C356" t="str">
            <v>NM</v>
          </cell>
          <cell r="F356" t="str">
            <v>FOLLOW-ON</v>
          </cell>
          <cell r="G356" t="str">
            <v>ICVM 476</v>
          </cell>
          <cell r="J356">
            <v>43861</v>
          </cell>
          <cell r="M356" t="str">
            <v>XP Investimentos</v>
          </cell>
          <cell r="W356">
            <v>36.25</v>
          </cell>
          <cell r="X356">
            <v>43859</v>
          </cell>
          <cell r="AO356">
            <v>1100213600</v>
          </cell>
          <cell r="AP356">
            <v>0</v>
          </cell>
          <cell r="AQ356">
            <v>1100213600</v>
          </cell>
          <cell r="BL356">
            <v>96</v>
          </cell>
          <cell r="DZ356">
            <v>332</v>
          </cell>
          <cell r="ED356">
            <v>257691439.27860406</v>
          </cell>
          <cell r="EF356">
            <v>0.1322984100541931</v>
          </cell>
          <cell r="EH356">
            <v>0.56927773047888153</v>
          </cell>
          <cell r="EJ356">
            <v>0.29842385946692535</v>
          </cell>
          <cell r="EL356">
            <v>0</v>
          </cell>
          <cell r="EQ356" t="str">
            <v>Serviços Educacionais</v>
          </cell>
        </row>
        <row r="357">
          <cell r="A357" t="str">
            <v>POSITIVO TEC</v>
          </cell>
          <cell r="C357" t="str">
            <v>NM</v>
          </cell>
          <cell r="F357" t="str">
            <v>FOLLOW-ON</v>
          </cell>
          <cell r="G357" t="str">
            <v>ICVM 476</v>
          </cell>
          <cell r="J357">
            <v>43864</v>
          </cell>
          <cell r="M357" t="str">
            <v>BTG Pactual</v>
          </cell>
          <cell r="W357">
            <v>6.55</v>
          </cell>
          <cell r="X357">
            <v>43860</v>
          </cell>
          <cell r="AO357">
            <v>353700000</v>
          </cell>
          <cell r="AP357">
            <v>0</v>
          </cell>
          <cell r="AQ357">
            <v>353700000</v>
          </cell>
          <cell r="DZ357">
            <v>321</v>
          </cell>
          <cell r="ED357">
            <v>83272513.243084177</v>
          </cell>
          <cell r="EF357">
            <v>0</v>
          </cell>
          <cell r="EH357">
            <v>0.82411924074074072</v>
          </cell>
          <cell r="EJ357">
            <v>0.13694444444444445</v>
          </cell>
          <cell r="EL357">
            <v>3.8936314814814812E-2</v>
          </cell>
          <cell r="EQ357" t="str">
            <v>Computadores e Equipamentos</v>
          </cell>
        </row>
        <row r="358">
          <cell r="A358" t="str">
            <v>MITRE REALTY</v>
          </cell>
          <cell r="C358" t="str">
            <v>NM</v>
          </cell>
          <cell r="F358" t="str">
            <v>IPO</v>
          </cell>
          <cell r="G358" t="str">
            <v>ICVM 400</v>
          </cell>
          <cell r="J358">
            <v>43866</v>
          </cell>
          <cell r="M358" t="str">
            <v>Itaú BBA</v>
          </cell>
          <cell r="W358">
            <v>19.3</v>
          </cell>
          <cell r="X358">
            <v>43864</v>
          </cell>
          <cell r="AO358">
            <v>958724026</v>
          </cell>
          <cell r="AP358">
            <v>94003236.200000003</v>
          </cell>
          <cell r="AQ358">
            <v>1052727262.2</v>
          </cell>
          <cell r="BL358">
            <v>7300</v>
          </cell>
          <cell r="DZ358">
            <v>7748</v>
          </cell>
          <cell r="ED358">
            <v>247998130.03839901</v>
          </cell>
          <cell r="EF358">
            <v>0.10116679204494311</v>
          </cell>
          <cell r="EH358">
            <v>0.42703269496718532</v>
          </cell>
          <cell r="EJ358">
            <v>0.4502438366019848</v>
          </cell>
          <cell r="EL358">
            <v>2.1556676385886799E-2</v>
          </cell>
          <cell r="EQ358" t="str">
            <v>Incorporações</v>
          </cell>
        </row>
        <row r="359">
          <cell r="A359" t="str">
            <v>LOCAWEB</v>
          </cell>
          <cell r="C359" t="str">
            <v>NM</v>
          </cell>
          <cell r="F359" t="str">
            <v>IPO</v>
          </cell>
          <cell r="G359" t="str">
            <v>ICVM 400</v>
          </cell>
          <cell r="J359">
            <v>43867</v>
          </cell>
          <cell r="M359" t="str">
            <v>Itaú BBA</v>
          </cell>
          <cell r="W359">
            <v>17.25</v>
          </cell>
          <cell r="X359">
            <v>43865</v>
          </cell>
          <cell r="AO359">
            <v>574999994.25</v>
          </cell>
          <cell r="AP359">
            <v>750144988.5</v>
          </cell>
          <cell r="AQ359">
            <v>1325144982.75</v>
          </cell>
          <cell r="BL359">
            <v>3180</v>
          </cell>
          <cell r="DZ359">
            <v>3704</v>
          </cell>
          <cell r="ED359">
            <v>311967649.02182359</v>
          </cell>
          <cell r="EF359">
            <v>0.1001020059893518</v>
          </cell>
          <cell r="EH359">
            <v>0.32811089987126918</v>
          </cell>
          <cell r="EJ359">
            <v>0.54889604984243756</v>
          </cell>
          <cell r="EL359">
            <v>2.2891044296941478E-2</v>
          </cell>
          <cell r="EQ359" t="str">
            <v>Programas e Serviços</v>
          </cell>
        </row>
        <row r="360">
          <cell r="A360" t="str">
            <v>PETROBRAS</v>
          </cell>
          <cell r="C360" t="str">
            <v>N2</v>
          </cell>
          <cell r="F360" t="str">
            <v>FOLLOW-ON</v>
          </cell>
          <cell r="G360" t="str">
            <v>ICVM 400</v>
          </cell>
          <cell r="J360">
            <v>43868</v>
          </cell>
          <cell r="M360" t="str">
            <v>Credit Suisse</v>
          </cell>
          <cell r="W360">
            <v>30</v>
          </cell>
          <cell r="X360">
            <v>43866</v>
          </cell>
          <cell r="AO360">
            <v>0</v>
          </cell>
          <cell r="AP360">
            <v>22026080970</v>
          </cell>
          <cell r="AQ360">
            <v>22026080970</v>
          </cell>
          <cell r="BL360">
            <v>53097</v>
          </cell>
          <cell r="DZ360">
            <v>55292</v>
          </cell>
          <cell r="ED360">
            <v>5113306938.8986912</v>
          </cell>
          <cell r="EF360">
            <v>0.16906688870671122</v>
          </cell>
          <cell r="EH360">
            <v>0.43540777694689459</v>
          </cell>
          <cell r="EJ360">
            <v>0.38807323561745721</v>
          </cell>
          <cell r="EL360">
            <v>7.4520987289369801E-3</v>
          </cell>
          <cell r="EQ360" t="str">
            <v>Exploração. Refino e Distribuição</v>
          </cell>
        </row>
        <row r="361">
          <cell r="A361" t="str">
            <v>COGNA ON</v>
          </cell>
          <cell r="C361" t="str">
            <v>NM</v>
          </cell>
          <cell r="F361" t="str">
            <v>FOLLOW-ON</v>
          </cell>
          <cell r="G361" t="str">
            <v>ICVM 476</v>
          </cell>
          <cell r="J361">
            <v>43874</v>
          </cell>
          <cell r="M361" t="str">
            <v>Itaú BBA</v>
          </cell>
          <cell r="W361">
            <v>11</v>
          </cell>
          <cell r="X361">
            <v>43872</v>
          </cell>
          <cell r="AO361">
            <v>2555938044</v>
          </cell>
          <cell r="AP361">
            <v>0</v>
          </cell>
          <cell r="AQ361">
            <v>2555938044</v>
          </cell>
          <cell r="BL361">
            <v>1</v>
          </cell>
          <cell r="DZ361">
            <v>2042</v>
          </cell>
          <cell r="ED361">
            <v>589075121.34411955</v>
          </cell>
          <cell r="EF361">
            <v>8.6074073867496297E-5</v>
          </cell>
          <cell r="EH361">
            <v>0.30330180061281642</v>
          </cell>
          <cell r="EJ361">
            <v>0.44945746736574654</v>
          </cell>
          <cell r="EL361">
            <v>0.24715465794756955</v>
          </cell>
          <cell r="EQ361" t="str">
            <v>Serviços Educacionais</v>
          </cell>
        </row>
        <row r="362">
          <cell r="A362" t="str">
            <v>MOURA DUBEUX</v>
          </cell>
          <cell r="C362" t="str">
            <v>NM</v>
          </cell>
          <cell r="F362" t="str">
            <v>IPO</v>
          </cell>
          <cell r="G362" t="str">
            <v>ICVM 400</v>
          </cell>
          <cell r="J362">
            <v>43874</v>
          </cell>
          <cell r="M362" t="str">
            <v>Itaú BBA</v>
          </cell>
          <cell r="W362">
            <v>19</v>
          </cell>
          <cell r="X362">
            <v>43872</v>
          </cell>
          <cell r="AO362">
            <v>1104867005</v>
          </cell>
          <cell r="AP362">
            <v>0</v>
          </cell>
          <cell r="AQ362">
            <v>1104867005</v>
          </cell>
          <cell r="BL362">
            <v>4678</v>
          </cell>
          <cell r="DZ362">
            <v>4948</v>
          </cell>
          <cell r="ED362">
            <v>254642191.56929177</v>
          </cell>
          <cell r="EF362">
            <v>9.7688715535139414E-2</v>
          </cell>
          <cell r="EH362">
            <v>0.58761211359542875</v>
          </cell>
          <cell r="EJ362">
            <v>0.3110162628928631</v>
          </cell>
          <cell r="EL362">
            <v>3.6829079765686827E-3</v>
          </cell>
          <cell r="EQ362" t="str">
            <v>Incorporações</v>
          </cell>
        </row>
        <row r="363">
          <cell r="A363" t="str">
            <v>PRINER</v>
          </cell>
          <cell r="C363" t="str">
            <v>NM</v>
          </cell>
          <cell r="F363" t="str">
            <v>IPO</v>
          </cell>
          <cell r="G363" t="str">
            <v>ICVM 400</v>
          </cell>
          <cell r="J363">
            <v>43878</v>
          </cell>
          <cell r="M363" t="str">
            <v>XP Investimentos</v>
          </cell>
          <cell r="W363">
            <v>10</v>
          </cell>
          <cell r="X363">
            <v>43874</v>
          </cell>
          <cell r="AO363">
            <v>173913040</v>
          </cell>
          <cell r="AP363">
            <v>26086950</v>
          </cell>
          <cell r="AQ363">
            <v>199999990</v>
          </cell>
          <cell r="BL363">
            <v>9671</v>
          </cell>
          <cell r="DZ363">
            <v>9909</v>
          </cell>
          <cell r="ED363">
            <v>46342421.855087243</v>
          </cell>
          <cell r="EF363">
            <v>0.38039636901981844</v>
          </cell>
          <cell r="EH363">
            <v>0.56562192828109636</v>
          </cell>
          <cell r="EJ363">
            <v>2.6556051327802567E-2</v>
          </cell>
          <cell r="EL363">
            <v>2.742465137123257E-2</v>
          </cell>
          <cell r="EQ363" t="str">
            <v>Serviços Diversos</v>
          </cell>
        </row>
        <row r="364">
          <cell r="A364" t="str">
            <v>ESTAPAR</v>
          </cell>
          <cell r="C364" t="str">
            <v>NM</v>
          </cell>
          <cell r="F364" t="str">
            <v>IPO</v>
          </cell>
          <cell r="G364" t="str">
            <v>ICVM 400</v>
          </cell>
          <cell r="J364">
            <v>43966</v>
          </cell>
          <cell r="M364" t="str">
            <v>BTG Pactual</v>
          </cell>
          <cell r="W364">
            <v>10.5</v>
          </cell>
          <cell r="X364">
            <v>43964</v>
          </cell>
          <cell r="AO364">
            <v>300300000</v>
          </cell>
          <cell r="AP364">
            <v>0</v>
          </cell>
          <cell r="AQ364">
            <v>300300000</v>
          </cell>
          <cell r="BL364">
            <v>1104</v>
          </cell>
          <cell r="DZ364">
            <v>1178</v>
          </cell>
          <cell r="ED364">
            <v>51572240.636109158</v>
          </cell>
          <cell r="EF364">
            <v>9.9578321678321674E-2</v>
          </cell>
          <cell r="EH364">
            <v>0.43811605351170568</v>
          </cell>
          <cell r="EJ364">
            <v>6.0833079963514745E-2</v>
          </cell>
          <cell r="EL364">
            <v>0.40147254484645789</v>
          </cell>
          <cell r="EQ364" t="str">
            <v>Serviços Diversos</v>
          </cell>
        </row>
        <row r="365">
          <cell r="A365" t="str">
            <v>CENTAURO</v>
          </cell>
          <cell r="C365" t="str">
            <v>NM</v>
          </cell>
          <cell r="F365" t="str">
            <v>FOLLOW-ON</v>
          </cell>
          <cell r="G365" t="str">
            <v>ICVM 476</v>
          </cell>
          <cell r="J365">
            <v>43990</v>
          </cell>
          <cell r="M365" t="str">
            <v>Bradesco BBI</v>
          </cell>
          <cell r="W365">
            <v>30</v>
          </cell>
          <cell r="X365">
            <v>43977</v>
          </cell>
          <cell r="AO365">
            <v>900000000</v>
          </cell>
          <cell r="AP365">
            <v>0</v>
          </cell>
          <cell r="AQ365">
            <v>900000000</v>
          </cell>
          <cell r="BL365">
            <v>344</v>
          </cell>
          <cell r="DZ365">
            <v>770</v>
          </cell>
          <cell r="ED365">
            <v>182441061.4015528</v>
          </cell>
          <cell r="EF365">
            <v>2.1158333333333333E-3</v>
          </cell>
          <cell r="EH365">
            <v>0.67652143333333337</v>
          </cell>
          <cell r="EJ365">
            <v>0.31601646666666666</v>
          </cell>
          <cell r="EL365">
            <v>5.3462666666666669E-3</v>
          </cell>
          <cell r="EQ365" t="str">
            <v>Produtos Diversos</v>
          </cell>
        </row>
        <row r="366">
          <cell r="A366" t="str">
            <v>VIAVAREJO</v>
          </cell>
          <cell r="C366" t="str">
            <v>NM</v>
          </cell>
          <cell r="F366" t="str">
            <v>FOLLOW-ON</v>
          </cell>
          <cell r="G366" t="str">
            <v>ICVM 476</v>
          </cell>
          <cell r="J366">
            <v>43999</v>
          </cell>
          <cell r="M366" t="str">
            <v>Bradesco BBI</v>
          </cell>
          <cell r="W366">
            <v>15</v>
          </cell>
          <cell r="X366">
            <v>43997</v>
          </cell>
          <cell r="AO366">
            <v>4455000000</v>
          </cell>
          <cell r="AP366">
            <v>0</v>
          </cell>
          <cell r="AQ366">
            <v>4455000000</v>
          </cell>
          <cell r="DZ366">
            <v>14556</v>
          </cell>
          <cell r="ED366">
            <v>848587592.14461219</v>
          </cell>
          <cell r="EF366">
            <v>7.9124579124579126E-5</v>
          </cell>
          <cell r="EH366">
            <v>0.4090659158249158</v>
          </cell>
          <cell r="EJ366">
            <v>0.27761075084175085</v>
          </cell>
          <cell r="EL366">
            <v>0.31324420875420877</v>
          </cell>
          <cell r="EQ366" t="str">
            <v>Eletrodomésticos</v>
          </cell>
        </row>
        <row r="367">
          <cell r="A367" t="str">
            <v>BTGP BANCO</v>
          </cell>
          <cell r="C367" t="str">
            <v>N2</v>
          </cell>
          <cell r="F367" t="str">
            <v>FOLLOW-ON</v>
          </cell>
          <cell r="G367" t="str">
            <v>ICVM 476</v>
          </cell>
          <cell r="J367">
            <v>44013</v>
          </cell>
          <cell r="M367" t="str">
            <v>BTG Pactual</v>
          </cell>
          <cell r="W367">
            <v>24.8</v>
          </cell>
          <cell r="X367">
            <v>44011</v>
          </cell>
          <cell r="AO367">
            <v>2650500000</v>
          </cell>
          <cell r="AP367">
            <v>0</v>
          </cell>
          <cell r="AQ367">
            <v>2650500000</v>
          </cell>
          <cell r="DZ367">
            <v>2556</v>
          </cell>
          <cell r="ED367">
            <v>494026206.40808189</v>
          </cell>
          <cell r="EF367">
            <v>8.1403508771929825E-5</v>
          </cell>
          <cell r="EH367">
            <v>0.48391056842105268</v>
          </cell>
          <cell r="EJ367">
            <v>0.1185880701754386</v>
          </cell>
          <cell r="EL367">
            <v>0.39741995789473683</v>
          </cell>
          <cell r="EQ367" t="str">
            <v>Bancos</v>
          </cell>
        </row>
        <row r="368">
          <cell r="A368" t="str">
            <v>AURA 360</v>
          </cell>
          <cell r="C368" t="str">
            <v>BDR</v>
          </cell>
          <cell r="F368" t="str">
            <v>IPO</v>
          </cell>
          <cell r="G368" t="str">
            <v>ICVM 476</v>
          </cell>
          <cell r="J368">
            <v>44018</v>
          </cell>
          <cell r="M368" t="str">
            <v>Credit Suisse</v>
          </cell>
          <cell r="W368">
            <v>820</v>
          </cell>
          <cell r="X368">
            <v>44014</v>
          </cell>
          <cell r="AO368">
            <v>301753440</v>
          </cell>
          <cell r="AP368">
            <v>560739780</v>
          </cell>
          <cell r="AQ368">
            <v>862493220</v>
          </cell>
          <cell r="DZ368">
            <v>120</v>
          </cell>
          <cell r="ED368">
            <v>162473998.30460581</v>
          </cell>
          <cell r="EF368">
            <v>1.8064872764584901E-4</v>
          </cell>
          <cell r="EH368">
            <v>0.81068826261989435</v>
          </cell>
          <cell r="EJ368">
            <v>0.18482261649810636</v>
          </cell>
          <cell r="EL368">
            <v>4.3355694635003762E-3</v>
          </cell>
          <cell r="EQ368" t="str">
            <v>Minerais Metálicos</v>
          </cell>
        </row>
        <row r="369">
          <cell r="A369" t="str">
            <v>JHSF PART</v>
          </cell>
          <cell r="C369" t="str">
            <v>NM</v>
          </cell>
          <cell r="F369" t="str">
            <v>FOLLOW-ON</v>
          </cell>
          <cell r="G369" t="str">
            <v>ICVM 476</v>
          </cell>
          <cell r="J369">
            <v>44029</v>
          </cell>
          <cell r="M369" t="str">
            <v>BTG Pactual</v>
          </cell>
          <cell r="W369">
            <v>9.75</v>
          </cell>
          <cell r="X369">
            <v>44027</v>
          </cell>
          <cell r="AO369">
            <v>399750000</v>
          </cell>
          <cell r="AP369">
            <v>33422512.5</v>
          </cell>
          <cell r="AQ369">
            <v>433172512.5</v>
          </cell>
          <cell r="DZ369">
            <v>2687</v>
          </cell>
          <cell r="ED369">
            <v>80951693.608671278</v>
          </cell>
          <cell r="EF369">
            <v>0</v>
          </cell>
          <cell r="EH369">
            <v>0.84487560195777656</v>
          </cell>
          <cell r="EJ369">
            <v>0.10616150418824186</v>
          </cell>
          <cell r="EL369">
            <v>4.8962893853981559E-2</v>
          </cell>
          <cell r="EQ369" t="str">
            <v>Incorporações</v>
          </cell>
        </row>
        <row r="370">
          <cell r="A370" t="str">
            <v xml:space="preserve">LOJAS AMERIC 4 </v>
          </cell>
          <cell r="C370" t="str">
            <v>N1</v>
          </cell>
          <cell r="F370" t="str">
            <v>FOLLOW-ON</v>
          </cell>
          <cell r="G370" t="str">
            <v>ICVM 476</v>
          </cell>
          <cell r="J370">
            <v>44028</v>
          </cell>
          <cell r="M370" t="str">
            <v>BTG Pactual</v>
          </cell>
          <cell r="W370">
            <v>32.402222222222221</v>
          </cell>
          <cell r="X370">
            <v>44026</v>
          </cell>
          <cell r="AO370">
            <v>7873740000</v>
          </cell>
          <cell r="AP370">
            <v>0</v>
          </cell>
          <cell r="AQ370">
            <v>7873740000</v>
          </cell>
          <cell r="DZ370">
            <v>2073</v>
          </cell>
          <cell r="ED370">
            <v>1470078416.7289021</v>
          </cell>
          <cell r="EF370">
            <v>0</v>
          </cell>
          <cell r="EH370">
            <v>0.3546143251028806</v>
          </cell>
          <cell r="EJ370">
            <v>0.18156418930041152</v>
          </cell>
          <cell r="EL370">
            <v>0.46382148559670777</v>
          </cell>
          <cell r="EQ370" t="str">
            <v>Produtos Diversos</v>
          </cell>
        </row>
        <row r="371">
          <cell r="A371" t="str">
            <v>AMBIPAR</v>
          </cell>
          <cell r="C371" t="str">
            <v>NM</v>
          </cell>
          <cell r="F371" t="str">
            <v>IPO</v>
          </cell>
          <cell r="G371" t="str">
            <v>ICVM 400</v>
          </cell>
          <cell r="J371">
            <v>44025</v>
          </cell>
          <cell r="M371" t="str">
            <v>Bradesco BBI</v>
          </cell>
          <cell r="W371">
            <v>24.75</v>
          </cell>
          <cell r="X371">
            <v>44021</v>
          </cell>
          <cell r="AO371">
            <v>1082400016.5</v>
          </cell>
          <cell r="AP371">
            <v>0</v>
          </cell>
          <cell r="AQ371">
            <v>1082400016.5</v>
          </cell>
          <cell r="BL371">
            <v>5287</v>
          </cell>
          <cell r="DZ371">
            <v>5798</v>
          </cell>
          <cell r="ED371">
            <v>202370716.9165763</v>
          </cell>
          <cell r="EF371">
            <v>9.7165676872474432E-2</v>
          </cell>
          <cell r="EH371">
            <v>0.59682831407273906</v>
          </cell>
          <cell r="EJ371">
            <v>0.30303731245369953</v>
          </cell>
          <cell r="EL371">
            <v>2.9686966010869422E-3</v>
          </cell>
          <cell r="EQ371" t="str">
            <v>Água e Saneamento</v>
          </cell>
        </row>
        <row r="372">
          <cell r="A372" t="str">
            <v>IMC S/A</v>
          </cell>
          <cell r="C372" t="str">
            <v>NM</v>
          </cell>
          <cell r="F372" t="str">
            <v>FOLLOW-ON</v>
          </cell>
          <cell r="G372" t="str">
            <v>ICVM 476</v>
          </cell>
          <cell r="J372">
            <v>44035</v>
          </cell>
          <cell r="M372" t="str">
            <v>BTG Pactual</v>
          </cell>
          <cell r="W372">
            <v>4.25</v>
          </cell>
          <cell r="X372">
            <v>44033</v>
          </cell>
          <cell r="AO372">
            <v>384412500</v>
          </cell>
          <cell r="AP372">
            <v>0</v>
          </cell>
          <cell r="AQ372">
            <v>384412500</v>
          </cell>
          <cell r="DZ372">
            <v>1766</v>
          </cell>
          <cell r="ED372">
            <v>74430751.060080931</v>
          </cell>
          <cell r="EF372">
            <v>0</v>
          </cell>
          <cell r="EH372">
            <v>0.71300042012161413</v>
          </cell>
          <cell r="EJ372">
            <v>9.4527363184079602E-2</v>
          </cell>
          <cell r="EL372">
            <v>0.19247221669430625</v>
          </cell>
          <cell r="EQ372" t="str">
            <v>Restaurante e Similares</v>
          </cell>
        </row>
        <row r="373">
          <cell r="A373" t="str">
            <v>IRANI</v>
          </cell>
          <cell r="C373" t="str">
            <v>BÁSICO</v>
          </cell>
          <cell r="F373" t="str">
            <v>FOLLOW-ON</v>
          </cell>
          <cell r="G373" t="str">
            <v>ICVM 476</v>
          </cell>
          <cell r="J373">
            <v>44036</v>
          </cell>
          <cell r="M373" t="str">
            <v>BTG Pactual</v>
          </cell>
          <cell r="W373">
            <v>4.5</v>
          </cell>
          <cell r="X373">
            <v>44034</v>
          </cell>
          <cell r="AO373">
            <v>405000000</v>
          </cell>
          <cell r="AP373">
            <v>0</v>
          </cell>
          <cell r="AQ373">
            <v>405000000</v>
          </cell>
          <cell r="DZ373">
            <v>105</v>
          </cell>
          <cell r="ED373">
            <v>77666551.605108738</v>
          </cell>
          <cell r="EF373">
            <v>4.4944444444444441E-3</v>
          </cell>
          <cell r="EH373">
            <v>0.76062677777777776</v>
          </cell>
          <cell r="EJ373">
            <v>0.23</v>
          </cell>
          <cell r="EL373">
            <v>4.8787777777777779E-3</v>
          </cell>
          <cell r="EQ373" t="str">
            <v>Papel e Celulose</v>
          </cell>
        </row>
        <row r="374">
          <cell r="A374" t="str">
            <v>DIMED</v>
          </cell>
          <cell r="C374" t="str">
            <v>BÁSICO</v>
          </cell>
          <cell r="F374" t="str">
            <v>FOLLOW-ON</v>
          </cell>
          <cell r="G374" t="str">
            <v>ICVM 476</v>
          </cell>
          <cell r="J374">
            <v>44036</v>
          </cell>
          <cell r="M374" t="str">
            <v>Bradesco BBI</v>
          </cell>
          <cell r="W374">
            <v>30</v>
          </cell>
          <cell r="X374">
            <v>44034</v>
          </cell>
          <cell r="AO374">
            <v>480000000</v>
          </cell>
          <cell r="AP374">
            <v>556713360</v>
          </cell>
          <cell r="AQ374">
            <v>1036713360</v>
          </cell>
          <cell r="DZ374">
            <v>809</v>
          </cell>
          <cell r="ED374">
            <v>198809757.22011277</v>
          </cell>
          <cell r="EF374">
            <v>0</v>
          </cell>
          <cell r="EH374">
            <v>0.5578050040755721</v>
          </cell>
          <cell r="EJ374">
            <v>0.41091396757923521</v>
          </cell>
          <cell r="EL374">
            <v>3.1281028345192738E-2</v>
          </cell>
          <cell r="EQ374" t="str">
            <v>Medicamentos e Outros Produtos</v>
          </cell>
        </row>
        <row r="375">
          <cell r="A375" t="str">
            <v>GRUPO SOMA</v>
          </cell>
          <cell r="C375" t="str">
            <v>NM</v>
          </cell>
          <cell r="F375" t="str">
            <v>IPO</v>
          </cell>
          <cell r="G375" t="str">
            <v>ICVM 400</v>
          </cell>
          <cell r="J375">
            <v>44043</v>
          </cell>
          <cell r="M375" t="str">
            <v>Itaú BBA</v>
          </cell>
          <cell r="W375">
            <v>9.9</v>
          </cell>
          <cell r="X375">
            <v>44041</v>
          </cell>
          <cell r="AO375">
            <v>1349999996.4000001</v>
          </cell>
          <cell r="AP375">
            <v>472499992.80000001</v>
          </cell>
          <cell r="AQ375">
            <v>1822499989.2</v>
          </cell>
          <cell r="BL375">
            <v>6726</v>
          </cell>
          <cell r="DZ375">
            <v>7229</v>
          </cell>
          <cell r="ED375">
            <v>350258487.72894126</v>
          </cell>
          <cell r="EF375">
            <v>0.13093826447963416</v>
          </cell>
          <cell r="EH375">
            <v>0.71711512227426233</v>
          </cell>
          <cell r="EJ375">
            <v>0.14826382408847699</v>
          </cell>
          <cell r="EL375">
            <v>3.6827891576264051E-3</v>
          </cell>
          <cell r="EQ375" t="str">
            <v>Tecidos. Vestuário e Calçados</v>
          </cell>
        </row>
        <row r="376">
          <cell r="A376" t="str">
            <v>D1000VFARMA</v>
          </cell>
          <cell r="C376" t="str">
            <v>NM</v>
          </cell>
          <cell r="F376" t="str">
            <v>IPO</v>
          </cell>
          <cell r="G376" t="str">
            <v>ICVM 400</v>
          </cell>
          <cell r="J376">
            <v>44053</v>
          </cell>
          <cell r="M376" t="str">
            <v>XP Investimentos</v>
          </cell>
          <cell r="W376">
            <v>17</v>
          </cell>
          <cell r="X376">
            <v>44049</v>
          </cell>
          <cell r="AO376">
            <v>400115485</v>
          </cell>
          <cell r="AP376">
            <v>0</v>
          </cell>
          <cell r="AQ376">
            <v>400115485</v>
          </cell>
          <cell r="BL376">
            <v>6213</v>
          </cell>
          <cell r="DZ376">
            <v>6526</v>
          </cell>
          <cell r="ED376">
            <v>74187507.648378551</v>
          </cell>
          <cell r="EF376">
            <v>0.31911968369913735</v>
          </cell>
          <cell r="EH376">
            <v>0.59082652867635743</v>
          </cell>
          <cell r="EJ376">
            <v>6.9918443870100586E-2</v>
          </cell>
          <cell r="EL376">
            <v>2.0135343754404639E-2</v>
          </cell>
          <cell r="EQ376" t="str">
            <v>Medicamentos e Outros Produtos</v>
          </cell>
        </row>
        <row r="377">
          <cell r="A377" t="str">
            <v>QUERO-QUERO</v>
          </cell>
          <cell r="C377" t="str">
            <v>NM</v>
          </cell>
          <cell r="F377" t="str">
            <v>IPO</v>
          </cell>
          <cell r="G377" t="str">
            <v>ICVM 400</v>
          </cell>
          <cell r="J377">
            <v>44053</v>
          </cell>
          <cell r="M377" t="str">
            <v>BTG Pactual</v>
          </cell>
          <cell r="W377">
            <v>12.65</v>
          </cell>
          <cell r="X377">
            <v>44049</v>
          </cell>
          <cell r="AO377">
            <v>279867259.10000002</v>
          </cell>
          <cell r="AP377">
            <v>1951899022.7</v>
          </cell>
          <cell r="AQ377">
            <v>2231766281.8000002</v>
          </cell>
          <cell r="BL377">
            <v>10049</v>
          </cell>
          <cell r="DZ377">
            <v>10844</v>
          </cell>
          <cell r="ED377">
            <v>413803475.01529682</v>
          </cell>
          <cell r="EF377">
            <v>9.8577852794944049E-2</v>
          </cell>
          <cell r="EH377">
            <v>0.54763831395205553</v>
          </cell>
          <cell r="EJ377">
            <v>0.34977499573584603</v>
          </cell>
          <cell r="EL377">
            <v>4.0088375171543926E-3</v>
          </cell>
          <cell r="EQ377" t="str">
            <v>Produtos Diversos</v>
          </cell>
        </row>
        <row r="378">
          <cell r="A378" t="str">
            <v>RUMO S.A.</v>
          </cell>
          <cell r="C378" t="str">
            <v>NM</v>
          </cell>
          <cell r="F378" t="str">
            <v>FOLLOW-ON</v>
          </cell>
          <cell r="G378" t="str">
            <v>ICVM 476</v>
          </cell>
          <cell r="J378">
            <v>44069</v>
          </cell>
          <cell r="M378" t="str">
            <v>Bradesco BBI</v>
          </cell>
          <cell r="W378">
            <v>21.75</v>
          </cell>
          <cell r="X378">
            <v>44067</v>
          </cell>
          <cell r="AO378">
            <v>6400000009.5</v>
          </cell>
          <cell r="AP378">
            <v>0</v>
          </cell>
          <cell r="AQ378">
            <v>6400000009.5</v>
          </cell>
          <cell r="DZ378">
            <v>2532</v>
          </cell>
          <cell r="ED378">
            <v>1149425289.0625</v>
          </cell>
          <cell r="EF378">
            <v>0</v>
          </cell>
          <cell r="EH378">
            <v>0.18270018324442941</v>
          </cell>
          <cell r="EJ378">
            <v>0.17226679661929148</v>
          </cell>
          <cell r="EL378">
            <v>0.64503302013627906</v>
          </cell>
          <cell r="EQ378" t="str">
            <v>Transporte Ferroviário</v>
          </cell>
        </row>
        <row r="379">
          <cell r="A379" t="str">
            <v>BANCO INTER</v>
          </cell>
          <cell r="C379" t="str">
            <v>N2</v>
          </cell>
          <cell r="F379" t="str">
            <v>FOLLOW-ON</v>
          </cell>
          <cell r="G379" t="str">
            <v>ICVM 476</v>
          </cell>
          <cell r="J379">
            <v>44082</v>
          </cell>
          <cell r="M379" t="str">
            <v>Bradesco BBI</v>
          </cell>
          <cell r="W379">
            <v>20.83</v>
          </cell>
          <cell r="X379">
            <v>44077</v>
          </cell>
          <cell r="AO379">
            <v>1166248787</v>
          </cell>
          <cell r="AP379">
            <v>0</v>
          </cell>
          <cell r="AQ379">
            <v>1166248787</v>
          </cell>
          <cell r="DZ379">
            <v>802</v>
          </cell>
          <cell r="ED379">
            <v>217186633.95284742</v>
          </cell>
          <cell r="EF379">
            <v>0</v>
          </cell>
          <cell r="EH379">
            <v>0.44113518929644979</v>
          </cell>
          <cell r="EJ379">
            <v>0.22581022309779258</v>
          </cell>
          <cell r="EL379">
            <v>0.33305458760575751</v>
          </cell>
          <cell r="EQ379" t="str">
            <v>Bancos</v>
          </cell>
        </row>
        <row r="380">
          <cell r="A380" t="str">
            <v>OMEGA GER</v>
          </cell>
          <cell r="C380" t="str">
            <v>NM</v>
          </cell>
          <cell r="F380" t="str">
            <v>FOLLOW-ON</v>
          </cell>
          <cell r="G380" t="str">
            <v>ICVM 476</v>
          </cell>
          <cell r="J380">
            <v>44077</v>
          </cell>
          <cell r="M380" t="str">
            <v>Itaú BBA</v>
          </cell>
          <cell r="W380">
            <v>38.25</v>
          </cell>
          <cell r="X380">
            <v>44075</v>
          </cell>
          <cell r="AO380">
            <v>896963532.75</v>
          </cell>
          <cell r="AP380">
            <v>0</v>
          </cell>
          <cell r="AQ380">
            <v>896963532.75</v>
          </cell>
          <cell r="BL380">
            <v>141</v>
          </cell>
          <cell r="DZ380">
            <v>382</v>
          </cell>
          <cell r="ED380">
            <v>168986516.84281918</v>
          </cell>
          <cell r="EF380">
            <v>4.7552184055054607E-4</v>
          </cell>
          <cell r="EH380">
            <v>0.60618791611625866</v>
          </cell>
          <cell r="EJ380">
            <v>0.38317384453331332</v>
          </cell>
          <cell r="EL380">
            <v>1.0162717509877494E-2</v>
          </cell>
          <cell r="EQ380" t="str">
            <v>Energia Elétrica</v>
          </cell>
        </row>
        <row r="381">
          <cell r="A381" t="str">
            <v>LAVVI</v>
          </cell>
          <cell r="C381" t="str">
            <v>NM</v>
          </cell>
          <cell r="F381" t="str">
            <v>IPO</v>
          </cell>
          <cell r="G381" t="str">
            <v>ICVM 400</v>
          </cell>
          <cell r="J381">
            <v>44076</v>
          </cell>
          <cell r="M381" t="str">
            <v>BTG Pactual</v>
          </cell>
          <cell r="W381">
            <v>9.5</v>
          </cell>
          <cell r="X381">
            <v>44074</v>
          </cell>
          <cell r="AO381">
            <v>1027064000</v>
          </cell>
          <cell r="AP381">
            <v>0</v>
          </cell>
          <cell r="AQ381">
            <v>1027064000</v>
          </cell>
          <cell r="BL381">
            <v>1392</v>
          </cell>
          <cell r="DZ381">
            <v>1633</v>
          </cell>
          <cell r="ED381">
            <v>191113674.8478815</v>
          </cell>
          <cell r="EF381">
            <v>0.15468951282639321</v>
          </cell>
          <cell r="EH381">
            <v>0.71497606722799201</v>
          </cell>
          <cell r="EJ381">
            <v>0.12948795170854766</v>
          </cell>
          <cell r="EL381">
            <v>8.4646823706712967E-4</v>
          </cell>
          <cell r="EQ381" t="str">
            <v>Incorporações</v>
          </cell>
        </row>
        <row r="382">
          <cell r="A382" t="str">
            <v>PAGUE MENOS</v>
          </cell>
          <cell r="C382" t="str">
            <v>NM</v>
          </cell>
          <cell r="F382" t="str">
            <v>IPO</v>
          </cell>
          <cell r="G382" t="str">
            <v>ICVM 400</v>
          </cell>
          <cell r="J382">
            <v>44076</v>
          </cell>
          <cell r="M382" t="str">
            <v>Itaú BBA</v>
          </cell>
          <cell r="W382">
            <v>8.5</v>
          </cell>
          <cell r="X382">
            <v>44074</v>
          </cell>
          <cell r="AO382">
            <v>858963097</v>
          </cell>
          <cell r="AP382">
            <v>0</v>
          </cell>
          <cell r="AQ382">
            <v>858963097</v>
          </cell>
          <cell r="BL382">
            <v>10193</v>
          </cell>
          <cell r="DZ382">
            <v>10569</v>
          </cell>
          <cell r="ED382">
            <v>159833850.69127852</v>
          </cell>
          <cell r="EF382">
            <v>9.5005791034582718E-2</v>
          </cell>
          <cell r="EH382">
            <v>0.2850157106341904</v>
          </cell>
          <cell r="EJ382">
            <v>0.48223761119274255</v>
          </cell>
          <cell r="EL382">
            <v>0.13774088713848437</v>
          </cell>
          <cell r="EQ382" t="str">
            <v>Medicamentos e Outros Produtos</v>
          </cell>
        </row>
        <row r="383">
          <cell r="A383" t="str">
            <v>BANCO PAN</v>
          </cell>
          <cell r="C383" t="str">
            <v>N1</v>
          </cell>
          <cell r="F383" t="str">
            <v>FOLLOW-ON</v>
          </cell>
          <cell r="G383" t="str">
            <v>ICVM 476</v>
          </cell>
          <cell r="J383">
            <v>44074</v>
          </cell>
          <cell r="M383" t="str">
            <v>BTG Pactual</v>
          </cell>
          <cell r="W383">
            <v>8.3000000000000007</v>
          </cell>
          <cell r="X383">
            <v>44070</v>
          </cell>
          <cell r="AO383">
            <v>0</v>
          </cell>
          <cell r="AP383">
            <v>743677219.50000012</v>
          </cell>
          <cell r="AQ383">
            <v>743677219.50000012</v>
          </cell>
          <cell r="DZ383">
            <v>46</v>
          </cell>
          <cell r="ED383">
            <v>135923312.4668726</v>
          </cell>
          <cell r="EF383">
            <v>0</v>
          </cell>
          <cell r="EH383">
            <v>0.28551357865009874</v>
          </cell>
          <cell r="EJ383">
            <v>0.24573466876243341</v>
          </cell>
          <cell r="EL383">
            <v>0.46875175258746782</v>
          </cell>
          <cell r="EQ383" t="str">
            <v>Bancos</v>
          </cell>
        </row>
        <row r="384">
          <cell r="A384" t="str">
            <v>PETZ</v>
          </cell>
          <cell r="C384" t="str">
            <v>NM</v>
          </cell>
          <cell r="F384" t="str">
            <v>IPO</v>
          </cell>
          <cell r="G384" t="str">
            <v>ICVM 400</v>
          </cell>
          <cell r="J384">
            <v>44085</v>
          </cell>
          <cell r="M384" t="str">
            <v>Itaú BBA</v>
          </cell>
          <cell r="W384">
            <v>13.75</v>
          </cell>
          <cell r="X384">
            <v>44144</v>
          </cell>
          <cell r="AO384">
            <v>336734695</v>
          </cell>
          <cell r="AP384">
            <v>2693877532.5</v>
          </cell>
          <cell r="AQ384">
            <v>3030612227.5</v>
          </cell>
          <cell r="BL384">
            <v>37928</v>
          </cell>
          <cell r="DZ384">
            <v>39168</v>
          </cell>
          <cell r="ED384">
            <v>573393163.71513987</v>
          </cell>
          <cell r="EF384">
            <v>0.12573764396256795</v>
          </cell>
          <cell r="EH384">
            <v>0.59226017228890104</v>
          </cell>
          <cell r="EJ384">
            <v>0.27607715815896144</v>
          </cell>
          <cell r="EL384">
            <v>5.9250255895695915E-3</v>
          </cell>
          <cell r="EQ384" t="str">
            <v>Produtos Diversos</v>
          </cell>
        </row>
        <row r="385">
          <cell r="A385" t="str">
            <v>PLANOEPLANO</v>
          </cell>
          <cell r="C385" t="str">
            <v>NM</v>
          </cell>
          <cell r="F385" t="str">
            <v>IPO</v>
          </cell>
          <cell r="G385" t="str">
            <v>ICVM 400</v>
          </cell>
          <cell r="J385">
            <v>44091</v>
          </cell>
          <cell r="M385" t="str">
            <v>Itaú BBA</v>
          </cell>
          <cell r="W385">
            <v>9.4</v>
          </cell>
          <cell r="X385">
            <v>44089</v>
          </cell>
          <cell r="AO385">
            <v>40006400</v>
          </cell>
          <cell r="AP385">
            <v>593415420</v>
          </cell>
          <cell r="AQ385">
            <v>633421820</v>
          </cell>
          <cell r="BL385">
            <v>613</v>
          </cell>
          <cell r="DZ385">
            <v>708</v>
          </cell>
          <cell r="ED385">
            <v>120438427.1671135</v>
          </cell>
          <cell r="EF385">
            <v>6.2766628748918668E-2</v>
          </cell>
          <cell r="EH385">
            <v>0.80233199599479599</v>
          </cell>
          <cell r="EJ385">
            <v>0.13486516494220382</v>
          </cell>
          <cell r="EL385">
            <v>3.6210314081561757E-5</v>
          </cell>
          <cell r="EQ385" t="str">
            <v>Incorporações</v>
          </cell>
        </row>
        <row r="386">
          <cell r="A386" t="str">
            <v>JSL</v>
          </cell>
          <cell r="C386" t="str">
            <v>NM</v>
          </cell>
          <cell r="F386" t="str">
            <v>FOLLOW-ON</v>
          </cell>
          <cell r="G386" t="str">
            <v>ICVM 476</v>
          </cell>
          <cell r="J386">
            <v>44084</v>
          </cell>
          <cell r="M386" t="str">
            <v>XP Investimentos</v>
          </cell>
          <cell r="W386">
            <v>9.6</v>
          </cell>
          <cell r="X386">
            <v>44082</v>
          </cell>
          <cell r="AO386">
            <v>763020844.79999995</v>
          </cell>
          <cell r="AP386">
            <v>0</v>
          </cell>
          <cell r="AQ386">
            <v>763020844.79999995</v>
          </cell>
          <cell r="BL386">
            <v>1819</v>
          </cell>
          <cell r="DZ386">
            <v>2144</v>
          </cell>
          <cell r="ED386">
            <v>144140253.28698805</v>
          </cell>
          <cell r="EF386">
            <v>1.2636702215556565E-2</v>
          </cell>
          <cell r="EH386">
            <v>0.38860168659968963</v>
          </cell>
          <cell r="EJ386">
            <v>0.48416970534642984</v>
          </cell>
          <cell r="EL386">
            <v>0.11459190583832396</v>
          </cell>
          <cell r="EQ386" t="str">
            <v>Transporte Rodoviário</v>
          </cell>
        </row>
        <row r="387">
          <cell r="A387" t="str">
            <v>SANTOS BRP</v>
          </cell>
          <cell r="C387" t="str">
            <v>NM</v>
          </cell>
          <cell r="F387" t="str">
            <v>FOLLOW-ON</v>
          </cell>
          <cell r="G387" t="str">
            <v>ICVM 476</v>
          </cell>
          <cell r="J387">
            <v>44102</v>
          </cell>
          <cell r="M387" t="str">
            <v>BTG Pactual</v>
          </cell>
          <cell r="W387">
            <v>4.0999999999999996</v>
          </cell>
          <cell r="X387">
            <v>44098</v>
          </cell>
          <cell r="AO387">
            <v>789987999.99999988</v>
          </cell>
          <cell r="AP387">
            <v>0</v>
          </cell>
          <cell r="AQ387">
            <v>789987999.99999988</v>
          </cell>
          <cell r="DZ387">
            <v>2244</v>
          </cell>
          <cell r="ED387">
            <v>141793445.09459022</v>
          </cell>
          <cell r="EF387">
            <v>1.9690678845754621E-3</v>
          </cell>
          <cell r="EH387">
            <v>0.81119014947062495</v>
          </cell>
          <cell r="EJ387">
            <v>9.3107743408760657E-2</v>
          </cell>
          <cell r="EL387">
            <v>9.3733039236039026E-2</v>
          </cell>
          <cell r="EQ387" t="str">
            <v>Serviços de Apoio e Armazenagem</v>
          </cell>
        </row>
        <row r="388">
          <cell r="A388" t="str">
            <v>MELNICK</v>
          </cell>
          <cell r="C388" t="str">
            <v>NM</v>
          </cell>
          <cell r="F388" t="str">
            <v>IPO</v>
          </cell>
          <cell r="G388" t="str">
            <v>ICVM 400</v>
          </cell>
          <cell r="J388">
            <v>44102</v>
          </cell>
          <cell r="M388" t="str">
            <v>BTG Pactual</v>
          </cell>
          <cell r="W388">
            <v>8.5</v>
          </cell>
          <cell r="X388">
            <v>44098</v>
          </cell>
          <cell r="AO388">
            <v>620500000</v>
          </cell>
          <cell r="AP388">
            <v>27324950</v>
          </cell>
          <cell r="AQ388">
            <v>647824950</v>
          </cell>
          <cell r="BL388">
            <v>2034</v>
          </cell>
          <cell r="DZ388">
            <v>2237</v>
          </cell>
          <cell r="ED388">
            <v>115977111.6044255</v>
          </cell>
          <cell r="EF388">
            <v>9.8468421679571178E-2</v>
          </cell>
          <cell r="EH388">
            <v>0.5916835020845741</v>
          </cell>
          <cell r="EJ388">
            <v>0.29971767718880288</v>
          </cell>
          <cell r="EL388">
            <v>1.0130399047051817E-2</v>
          </cell>
          <cell r="EQ388" t="str">
            <v>Incorporações</v>
          </cell>
        </row>
        <row r="389">
          <cell r="A389" t="str">
            <v>HIDROVIAS</v>
          </cell>
          <cell r="C389" t="str">
            <v>NM</v>
          </cell>
          <cell r="F389" t="str">
            <v>IPO</v>
          </cell>
          <cell r="G389" t="str">
            <v>ICVM 400</v>
          </cell>
          <cell r="J389">
            <v>44099</v>
          </cell>
          <cell r="M389" t="str">
            <v>Bank of America</v>
          </cell>
          <cell r="W389">
            <v>7.56</v>
          </cell>
          <cell r="X389">
            <v>44097</v>
          </cell>
          <cell r="AO389">
            <v>0</v>
          </cell>
          <cell r="AP389">
            <v>3019664869.1999998</v>
          </cell>
          <cell r="AQ389">
            <v>3019664869.1999998</v>
          </cell>
          <cell r="BL389">
            <v>2999</v>
          </cell>
          <cell r="DZ389">
            <v>3359</v>
          </cell>
          <cell r="ED389">
            <v>542451518.70946872</v>
          </cell>
          <cell r="EF389">
            <v>0.11786782240205776</v>
          </cell>
          <cell r="EH389">
            <v>0.52217207995779402</v>
          </cell>
          <cell r="EJ389">
            <v>0.35568626391996866</v>
          </cell>
          <cell r="EL389">
            <v>4.2738337201795517E-3</v>
          </cell>
          <cell r="EQ389" t="str">
            <v>Transporte Hidroviário</v>
          </cell>
        </row>
        <row r="390">
          <cell r="A390" t="str">
            <v>CURY S/A</v>
          </cell>
          <cell r="C390" t="str">
            <v>NM</v>
          </cell>
          <cell r="F390" t="str">
            <v>IPO</v>
          </cell>
          <cell r="G390" t="str">
            <v>ICVM 400</v>
          </cell>
          <cell r="J390">
            <v>44095</v>
          </cell>
          <cell r="M390" t="str">
            <v>BTG Pactual</v>
          </cell>
          <cell r="W390">
            <v>9.35</v>
          </cell>
          <cell r="X390">
            <v>44091</v>
          </cell>
          <cell r="AO390">
            <v>169999998.29999998</v>
          </cell>
          <cell r="AP390">
            <v>807499996.5999999</v>
          </cell>
          <cell r="AQ390">
            <v>977499994.89999986</v>
          </cell>
          <cell r="BL390">
            <v>1140</v>
          </cell>
          <cell r="DZ390">
            <v>1377</v>
          </cell>
          <cell r="ED390">
            <v>179555472.97942686</v>
          </cell>
          <cell r="EF390">
            <v>9.8209301381961572E-2</v>
          </cell>
          <cell r="EH390">
            <v>0.78759423628310044</v>
          </cell>
          <cell r="EJ390">
            <v>0.11397800233379828</v>
          </cell>
          <cell r="EL390">
            <v>2.184600011397913E-4</v>
          </cell>
          <cell r="EQ390" t="str">
            <v>Incorporações</v>
          </cell>
        </row>
        <row r="391">
          <cell r="A391" t="str">
            <v>BOA VISTA</v>
          </cell>
          <cell r="C391" t="str">
            <v>NM</v>
          </cell>
          <cell r="F391" t="str">
            <v>IPO</v>
          </cell>
          <cell r="G391" t="str">
            <v>ICVM 400</v>
          </cell>
          <cell r="J391">
            <v>44104</v>
          </cell>
          <cell r="M391" t="str">
            <v>J.P. Morgan</v>
          </cell>
          <cell r="W391">
            <v>12.2</v>
          </cell>
          <cell r="X391">
            <v>44102</v>
          </cell>
          <cell r="AO391">
            <v>1299676492</v>
          </cell>
          <cell r="AP391">
            <v>870065582.19999993</v>
          </cell>
          <cell r="AQ391">
            <v>2169742074.1999998</v>
          </cell>
          <cell r="BL391">
            <v>1510</v>
          </cell>
          <cell r="DZ391">
            <v>1898</v>
          </cell>
          <cell r="ED391">
            <v>384658300.2464233</v>
          </cell>
          <cell r="EF391">
            <v>9.689944786525817E-2</v>
          </cell>
          <cell r="EH391">
            <v>0.28286285337684219</v>
          </cell>
          <cell r="EJ391">
            <v>0.61713605074174949</v>
          </cell>
          <cell r="EL391">
            <v>2.1713689640908565E-3</v>
          </cell>
          <cell r="EQ391" t="str">
            <v>Serviços Financeiros Diversos</v>
          </cell>
        </row>
        <row r="392">
          <cell r="A392" t="str">
            <v>SUZANO</v>
          </cell>
          <cell r="C392" t="str">
            <v>NM</v>
          </cell>
          <cell r="F392" t="str">
            <v>FOLLOW-ON</v>
          </cell>
          <cell r="G392" t="str">
            <v>ICVM 400</v>
          </cell>
          <cell r="J392">
            <v>44109</v>
          </cell>
          <cell r="M392" t="str">
            <v>J.P. Morgan</v>
          </cell>
          <cell r="W392">
            <v>46</v>
          </cell>
          <cell r="X392">
            <v>44105</v>
          </cell>
          <cell r="AO392">
            <v>0</v>
          </cell>
          <cell r="AP392">
            <v>6910001550</v>
          </cell>
          <cell r="AQ392">
            <v>6910001550</v>
          </cell>
          <cell r="BL392">
            <v>1355</v>
          </cell>
          <cell r="DZ392">
            <v>1946</v>
          </cell>
          <cell r="ED392">
            <v>1227375539.5300093</v>
          </cell>
          <cell r="EF392">
            <v>4.5865058597562833E-2</v>
          </cell>
          <cell r="EH392">
            <v>0.42986197506714019</v>
          </cell>
          <cell r="EJ392">
            <v>0.51725026573981014</v>
          </cell>
          <cell r="EL392">
            <v>7.0227005954868419E-3</v>
          </cell>
          <cell r="EQ392" t="str">
            <v>Papel e Celulose</v>
          </cell>
        </row>
        <row r="393">
          <cell r="A393" t="str">
            <v>SEQUOIA LOG</v>
          </cell>
          <cell r="C393" t="str">
            <v>NM</v>
          </cell>
          <cell r="F393" t="str">
            <v>IPO</v>
          </cell>
          <cell r="G393" t="str">
            <v>ICVM 400</v>
          </cell>
          <cell r="J393">
            <v>44111</v>
          </cell>
          <cell r="M393" t="str">
            <v>BTG Pactual</v>
          </cell>
          <cell r="W393">
            <v>12.4</v>
          </cell>
          <cell r="X393">
            <v>44109</v>
          </cell>
          <cell r="AO393">
            <v>348070170</v>
          </cell>
          <cell r="AP393">
            <v>557787687.20000005</v>
          </cell>
          <cell r="AQ393">
            <v>905857857.20000005</v>
          </cell>
          <cell r="BL393">
            <v>572</v>
          </cell>
          <cell r="DZ393">
            <v>705</v>
          </cell>
          <cell r="ED393">
            <v>164089821.06693235</v>
          </cell>
          <cell r="EF393">
            <v>3.8005060435304307E-2</v>
          </cell>
          <cell r="EH393">
            <v>0.26971787093645905</v>
          </cell>
          <cell r="EJ393">
            <v>0.69140133796102299</v>
          </cell>
          <cell r="EL393">
            <v>8.7573066721363538E-4</v>
          </cell>
          <cell r="EQ393" t="str">
            <v>Serviços Diversos</v>
          </cell>
        </row>
        <row r="394">
          <cell r="A394" t="str">
            <v>GRUPO MATEUS</v>
          </cell>
          <cell r="C394" t="str">
            <v>NM</v>
          </cell>
          <cell r="F394" t="str">
            <v>IPO</v>
          </cell>
          <cell r="G394" t="str">
            <v>ICVM 400</v>
          </cell>
          <cell r="J394">
            <v>44117</v>
          </cell>
          <cell r="M394" t="str">
            <v>XP Investimentos</v>
          </cell>
          <cell r="W394">
            <v>8.9700000000000006</v>
          </cell>
          <cell r="X394">
            <v>44112</v>
          </cell>
          <cell r="AO394">
            <v>3099286440.5100002</v>
          </cell>
          <cell r="AP394">
            <v>1062364461.6000001</v>
          </cell>
          <cell r="AQ394">
            <v>4161650902.1100006</v>
          </cell>
          <cell r="BL394">
            <v>16162</v>
          </cell>
          <cell r="DZ394">
            <v>17115</v>
          </cell>
          <cell r="ED394">
            <v>745027820.42464077</v>
          </cell>
          <cell r="EF394">
            <v>0.10400331939365198</v>
          </cell>
          <cell r="EH394">
            <v>0.60837274307573608</v>
          </cell>
          <cell r="EJ394">
            <v>0.2734226017913573</v>
          </cell>
          <cell r="EL394">
            <v>1.4201335739254596E-2</v>
          </cell>
          <cell r="EQ394" t="str">
            <v>Alimentos</v>
          </cell>
        </row>
        <row r="395">
          <cell r="A395" t="str">
            <v>GRUPO NATURA</v>
          </cell>
          <cell r="C395" t="str">
            <v>NM</v>
          </cell>
          <cell r="F395" t="str">
            <v>FOLLOW-ON</v>
          </cell>
          <cell r="G395" t="str">
            <v>ICVM 476</v>
          </cell>
          <cell r="J395">
            <v>44117</v>
          </cell>
          <cell r="M395" t="str">
            <v>Morgan Stanley</v>
          </cell>
          <cell r="W395">
            <v>46.25</v>
          </cell>
          <cell r="X395">
            <v>44112</v>
          </cell>
          <cell r="AO395">
            <v>5614750000</v>
          </cell>
          <cell r="AP395">
            <v>0</v>
          </cell>
          <cell r="AQ395">
            <v>5614750000</v>
          </cell>
          <cell r="DZ395">
            <v>1635</v>
          </cell>
          <cell r="ED395">
            <v>1005164789.9174708</v>
          </cell>
          <cell r="EF395">
            <v>0</v>
          </cell>
          <cell r="EH395">
            <v>0.36891922570016472</v>
          </cell>
          <cell r="EJ395">
            <v>0.10215650741350907</v>
          </cell>
          <cell r="EL395">
            <v>0.32242509060955521</v>
          </cell>
          <cell r="EQ395" t="str">
            <v>Produtos de Uso Pessoal</v>
          </cell>
        </row>
        <row r="396">
          <cell r="A396" t="str">
            <v>TRACK FIELD</v>
          </cell>
          <cell r="C396" t="str">
            <v>N2</v>
          </cell>
          <cell r="F396" t="str">
            <v>IPO</v>
          </cell>
          <cell r="G396" t="str">
            <v>ICVM 400</v>
          </cell>
          <cell r="J396">
            <v>44130</v>
          </cell>
          <cell r="M396" t="str">
            <v>BTG Pactual</v>
          </cell>
          <cell r="W396">
            <v>9.25</v>
          </cell>
          <cell r="X396">
            <v>44126</v>
          </cell>
          <cell r="AO396">
            <v>182391500</v>
          </cell>
          <cell r="AP396">
            <v>309825050</v>
          </cell>
          <cell r="AQ396">
            <v>492216550</v>
          </cell>
          <cell r="BL396">
            <v>1267</v>
          </cell>
          <cell r="DZ396">
            <v>1422</v>
          </cell>
          <cell r="ED396">
            <v>87383991.975571662</v>
          </cell>
          <cell r="EF396">
            <v>7.403591028795084E-2</v>
          </cell>
          <cell r="EH396">
            <v>0.6792292482079344</v>
          </cell>
          <cell r="EJ396">
            <v>0.23665688024067533</v>
          </cell>
          <cell r="EL396">
            <v>8.0527370452185935E-3</v>
          </cell>
          <cell r="EQ396" t="str">
            <v>Vestuário</v>
          </cell>
        </row>
        <row r="397">
          <cell r="A397" t="str">
            <v>MELIUZ</v>
          </cell>
          <cell r="C397" t="str">
            <v>NM</v>
          </cell>
          <cell r="F397" t="str">
            <v>IPO</v>
          </cell>
          <cell r="G397" t="str">
            <v>ICVM 400</v>
          </cell>
          <cell r="J397">
            <v>44139</v>
          </cell>
          <cell r="M397" t="str">
            <v>Itaú BBA</v>
          </cell>
          <cell r="W397">
            <v>10</v>
          </cell>
          <cell r="X397">
            <v>44138</v>
          </cell>
          <cell r="AO397">
            <v>334677510</v>
          </cell>
          <cell r="AP397">
            <v>294718120</v>
          </cell>
          <cell r="AQ397">
            <v>629395630</v>
          </cell>
          <cell r="BL397">
            <v>1066</v>
          </cell>
          <cell r="DZ397">
            <v>1256</v>
          </cell>
          <cell r="ED397">
            <v>110624067.14122507</v>
          </cell>
          <cell r="EF397">
            <v>0.10185889040722203</v>
          </cell>
          <cell r="EH397">
            <v>0.63191547132501613</v>
          </cell>
          <cell r="EJ397">
            <v>0.26036318280768739</v>
          </cell>
          <cell r="EL397">
            <v>5.8624554600745105E-3</v>
          </cell>
          <cell r="EQ397" t="str">
            <v>Programas e Serviços</v>
          </cell>
        </row>
        <row r="398">
          <cell r="A398" t="str">
            <v>ENJOEI</v>
          </cell>
          <cell r="C398" t="str">
            <v>NM</v>
          </cell>
          <cell r="F398" t="str">
            <v>IPO</v>
          </cell>
          <cell r="G398" t="str">
            <v>ICVM 400</v>
          </cell>
          <cell r="J398">
            <v>44141</v>
          </cell>
          <cell r="M398" t="str">
            <v>BTG Pactual</v>
          </cell>
          <cell r="W398">
            <v>10.25</v>
          </cell>
          <cell r="X398">
            <v>44140</v>
          </cell>
          <cell r="AO398">
            <v>470833750</v>
          </cell>
          <cell r="AP398">
            <v>515883760.75</v>
          </cell>
          <cell r="AQ398">
            <v>986717510.75</v>
          </cell>
          <cell r="BL398">
            <v>1221</v>
          </cell>
          <cell r="DZ398">
            <v>1447</v>
          </cell>
          <cell r="ED398">
            <v>178387993.91643918</v>
          </cell>
          <cell r="EF398">
            <v>0.10703065504124835</v>
          </cell>
          <cell r="EH398">
            <v>0.71477944005202088</v>
          </cell>
          <cell r="EJ398">
            <v>0.17534201808662636</v>
          </cell>
          <cell r="EL398">
            <v>2.8478868201044522E-3</v>
          </cell>
          <cell r="EQ398" t="str">
            <v>Programas e Serviços</v>
          </cell>
        </row>
        <row r="399">
          <cell r="A399" t="str">
            <v>AURA 360</v>
          </cell>
          <cell r="C399" t="str">
            <v>BDR</v>
          </cell>
          <cell r="F399" t="str">
            <v>FOLLOW-ON</v>
          </cell>
          <cell r="G399" t="str">
            <v>ICVM 400</v>
          </cell>
          <cell r="J399">
            <v>44144</v>
          </cell>
          <cell r="M399" t="str">
            <v>XP Investimentos</v>
          </cell>
          <cell r="W399">
            <v>48.5</v>
          </cell>
          <cell r="X399">
            <v>44141</v>
          </cell>
          <cell r="AO399">
            <v>0</v>
          </cell>
          <cell r="AP399">
            <v>87300000</v>
          </cell>
          <cell r="AQ399">
            <v>87300000</v>
          </cell>
          <cell r="BL399">
            <v>543</v>
          </cell>
          <cell r="DZ399">
            <v>580</v>
          </cell>
          <cell r="ED399">
            <v>16160681.229174379</v>
          </cell>
          <cell r="EF399">
            <v>0.14430000000000001</v>
          </cell>
          <cell r="EH399">
            <v>0.76633777777777778</v>
          </cell>
          <cell r="EJ399">
            <v>0</v>
          </cell>
          <cell r="EL399">
            <v>8.9362222222222218E-2</v>
          </cell>
          <cell r="EQ399" t="str">
            <v>Minerais Metálicos</v>
          </cell>
        </row>
        <row r="400">
          <cell r="A400" t="str">
            <v>AERIS</v>
          </cell>
          <cell r="C400" t="str">
            <v>NM</v>
          </cell>
          <cell r="F400" t="str">
            <v>IPO</v>
          </cell>
          <cell r="G400" t="str">
            <v>ICVM 400</v>
          </cell>
          <cell r="J400">
            <v>44145</v>
          </cell>
          <cell r="M400" t="str">
            <v>BTG Pactual</v>
          </cell>
          <cell r="W400">
            <v>5.55</v>
          </cell>
          <cell r="X400">
            <v>44144</v>
          </cell>
          <cell r="AO400">
            <v>834634607.70000005</v>
          </cell>
          <cell r="AP400">
            <v>294576883.80000001</v>
          </cell>
          <cell r="AQ400">
            <v>1129211491.5</v>
          </cell>
          <cell r="BL400">
            <v>1161</v>
          </cell>
          <cell r="DZ400">
            <v>1330</v>
          </cell>
          <cell r="ED400">
            <v>210297134.14407033</v>
          </cell>
          <cell r="EF400">
            <v>3.4478395006662922E-2</v>
          </cell>
          <cell r="EH400">
            <v>0.29991489300213164</v>
          </cell>
          <cell r="EJ400">
            <v>0.66448168358903037</v>
          </cell>
          <cell r="EL400">
            <v>1.1250284021750941E-3</v>
          </cell>
          <cell r="EQ400" t="str">
            <v>Máq. e Equip. Industriais</v>
          </cell>
        </row>
        <row r="401">
          <cell r="A401" t="str">
            <v>3R PETROLEUM</v>
          </cell>
          <cell r="C401" t="str">
            <v>NM</v>
          </cell>
          <cell r="F401" t="str">
            <v>IPO</v>
          </cell>
          <cell r="G401" t="str">
            <v>ICVM 400</v>
          </cell>
          <cell r="J401">
            <v>44145</v>
          </cell>
          <cell r="M401" t="str">
            <v>XP Investimentos</v>
          </cell>
          <cell r="W401">
            <v>21</v>
          </cell>
          <cell r="X401">
            <v>44144</v>
          </cell>
          <cell r="AO401">
            <v>690000003</v>
          </cell>
          <cell r="AP401">
            <v>0</v>
          </cell>
          <cell r="AQ401">
            <v>690000003</v>
          </cell>
          <cell r="BL401">
            <v>1412</v>
          </cell>
          <cell r="DZ401">
            <v>1516</v>
          </cell>
          <cell r="ED401">
            <v>128501192.45381406</v>
          </cell>
          <cell r="EF401">
            <v>7.5767877931444003E-2</v>
          </cell>
          <cell r="EH401">
            <v>0.57498298010876969</v>
          </cell>
          <cell r="EJ401">
            <v>0.17378513402702114</v>
          </cell>
          <cell r="EL401">
            <v>0.17546400793276518</v>
          </cell>
          <cell r="EQ401" t="str">
            <v>Exploração. Refino e Distribuição</v>
          </cell>
        </row>
        <row r="402">
          <cell r="A402" t="str">
            <v>BK BRASIL</v>
          </cell>
          <cell r="C402" t="str">
            <v>NM</v>
          </cell>
          <cell r="F402" t="str">
            <v>FOLLOW-ON</v>
          </cell>
          <cell r="G402" t="str">
            <v>ICVM 476</v>
          </cell>
          <cell r="J402">
            <v>44154</v>
          </cell>
          <cell r="M402" t="str">
            <v>Itaú BBA</v>
          </cell>
          <cell r="W402">
            <v>10.8</v>
          </cell>
          <cell r="X402">
            <v>44152</v>
          </cell>
          <cell r="AO402">
            <v>510300000</v>
          </cell>
          <cell r="AP402">
            <v>0</v>
          </cell>
          <cell r="AQ402">
            <v>510300000</v>
          </cell>
          <cell r="BL402">
            <v>324</v>
          </cell>
          <cell r="DZ402">
            <v>505</v>
          </cell>
          <cell r="ED402">
            <v>95687230.451903239</v>
          </cell>
          <cell r="EF402">
            <v>2.8301164021164015E-3</v>
          </cell>
          <cell r="EH402">
            <v>0.41647214814814815</v>
          </cell>
          <cell r="EJ402">
            <v>0.50764852910052904</v>
          </cell>
          <cell r="EL402">
            <v>7.3049206349206336E-2</v>
          </cell>
          <cell r="EQ402" t="str">
            <v>Restaurante e Similares</v>
          </cell>
        </row>
        <row r="403">
          <cell r="A403" t="str">
            <v>ANIMA</v>
          </cell>
          <cell r="C403" t="str">
            <v>NM</v>
          </cell>
          <cell r="F403" t="str">
            <v>FOLLOW-ON</v>
          </cell>
          <cell r="G403" t="str">
            <v>ICVM 476</v>
          </cell>
          <cell r="J403">
            <v>44172</v>
          </cell>
          <cell r="M403" t="str">
            <v>Bradesco BBI</v>
          </cell>
          <cell r="W403">
            <v>34</v>
          </cell>
          <cell r="X403">
            <v>44168</v>
          </cell>
          <cell r="AO403">
            <v>918000000</v>
          </cell>
          <cell r="AP403">
            <v>0</v>
          </cell>
          <cell r="AQ403">
            <v>918000000</v>
          </cell>
          <cell r="DZ403">
            <v>297</v>
          </cell>
          <cell r="ED403">
            <v>179936493.00246972</v>
          </cell>
          <cell r="EF403">
            <v>0</v>
          </cell>
          <cell r="EH403">
            <v>0.45037037037037037</v>
          </cell>
          <cell r="EJ403">
            <v>0.12278966666666667</v>
          </cell>
          <cell r="EL403">
            <v>0.42683996296296295</v>
          </cell>
          <cell r="EQ403" t="str">
            <v>Serviços Educacionais</v>
          </cell>
        </row>
        <row r="404">
          <cell r="A404" t="str">
            <v>INTERMEDICA</v>
          </cell>
          <cell r="C404" t="str">
            <v>NM</v>
          </cell>
          <cell r="F404" t="str">
            <v>FOLLOW-ON</v>
          </cell>
          <cell r="G404" t="str">
            <v>ICVM 476</v>
          </cell>
          <cell r="J404">
            <v>44168</v>
          </cell>
          <cell r="M404" t="str">
            <v>Itaú  BBA</v>
          </cell>
          <cell r="W404">
            <v>69.5</v>
          </cell>
          <cell r="X404">
            <v>44166</v>
          </cell>
          <cell r="AO404">
            <v>0</v>
          </cell>
          <cell r="AP404">
            <v>3753000000</v>
          </cell>
          <cell r="AQ404">
            <v>3753000000</v>
          </cell>
          <cell r="DZ404">
            <v>436</v>
          </cell>
          <cell r="ED404">
            <v>726973365.61743343</v>
          </cell>
          <cell r="EF404">
            <v>7.6444444444444438E-5</v>
          </cell>
          <cell r="EH404">
            <v>0.46638235185185184</v>
          </cell>
          <cell r="EJ404">
            <v>0.53335601851851855</v>
          </cell>
          <cell r="EL404">
            <v>1.8518518518518518E-4</v>
          </cell>
          <cell r="EQ404" t="str">
            <v>Serv.Méd.Hospit..Análises e Diagnósticos</v>
          </cell>
        </row>
        <row r="405">
          <cell r="A405" t="str">
            <v>ALPHAVILLE</v>
          </cell>
          <cell r="C405" t="str">
            <v>NM</v>
          </cell>
          <cell r="F405" t="str">
            <v>IPO</v>
          </cell>
          <cell r="G405" t="str">
            <v>ICVM 476</v>
          </cell>
          <cell r="J405">
            <v>44172</v>
          </cell>
          <cell r="M405" t="str">
            <v>Bradesco BB</v>
          </cell>
          <cell r="W405">
            <v>29.5</v>
          </cell>
          <cell r="X405">
            <v>44174</v>
          </cell>
          <cell r="AO405">
            <v>305992585</v>
          </cell>
          <cell r="AP405">
            <v>0</v>
          </cell>
          <cell r="AQ405">
            <v>305992585</v>
          </cell>
          <cell r="BL405">
            <v>6</v>
          </cell>
          <cell r="DZ405">
            <v>39</v>
          </cell>
          <cell r="ED405">
            <v>60364282.614270784</v>
          </cell>
          <cell r="EF405">
            <v>1.6666939821433909E-2</v>
          </cell>
          <cell r="EH405">
            <v>0.80600194936096248</v>
          </cell>
          <cell r="EJ405">
            <v>4.4752391630666473E-2</v>
          </cell>
          <cell r="EL405">
            <v>0.13257871918693717</v>
          </cell>
          <cell r="EQ405" t="str">
            <v>Incorporações</v>
          </cell>
        </row>
        <row r="406">
          <cell r="A406" t="str">
            <v>REDE D OR</v>
          </cell>
          <cell r="C406" t="str">
            <v>NM</v>
          </cell>
          <cell r="F406" t="str">
            <v>IPO</v>
          </cell>
          <cell r="G406" t="str">
            <v>ICVM 400</v>
          </cell>
          <cell r="J406">
            <v>44175</v>
          </cell>
          <cell r="M406" t="str">
            <v>Bank of America</v>
          </cell>
          <cell r="W406">
            <v>57.92</v>
          </cell>
          <cell r="X406">
            <v>44174</v>
          </cell>
          <cell r="AO406">
            <v>8437640047.04</v>
          </cell>
          <cell r="AP406">
            <v>2953173990.4000001</v>
          </cell>
          <cell r="AQ406">
            <v>11390814037.440001</v>
          </cell>
          <cell r="BL406">
            <v>41258</v>
          </cell>
          <cell r="DZ406">
            <v>43237</v>
          </cell>
          <cell r="ED406">
            <v>2239993321.2931643</v>
          </cell>
          <cell r="EF406">
            <v>0.10520653062907245</v>
          </cell>
          <cell r="EH406">
            <v>0.41673076945665166</v>
          </cell>
          <cell r="EJ406">
            <v>0.47035108864301139</v>
          </cell>
          <cell r="EL406">
            <v>7.7116112712644833E-3</v>
          </cell>
          <cell r="EQ406" t="str">
            <v>Serv.Méd.Hospit..Análises e Diagnósticos</v>
          </cell>
        </row>
        <row r="407">
          <cell r="A407" t="str">
            <v>NEOGRID</v>
          </cell>
          <cell r="C407" t="str">
            <v>NM</v>
          </cell>
          <cell r="F407" t="str">
            <v>IPO</v>
          </cell>
          <cell r="G407" t="str">
            <v>ICVM 400</v>
          </cell>
          <cell r="J407">
            <v>44183</v>
          </cell>
          <cell r="M407" t="str">
            <v>Credit Suisse</v>
          </cell>
          <cell r="W407">
            <v>4.5</v>
          </cell>
          <cell r="X407">
            <v>44180</v>
          </cell>
          <cell r="AO407">
            <v>337500000</v>
          </cell>
          <cell r="AP407">
            <v>148950000</v>
          </cell>
          <cell r="AQ407">
            <v>486450000</v>
          </cell>
          <cell r="BL407">
            <v>2747</v>
          </cell>
          <cell r="DZ407">
            <v>2964</v>
          </cell>
          <cell r="ED407">
            <v>96113569.904370502</v>
          </cell>
          <cell r="EF407">
            <v>0.18062240518038852</v>
          </cell>
          <cell r="EH407">
            <v>0.54608746530989827</v>
          </cell>
          <cell r="EJ407">
            <v>0.26540198889916744</v>
          </cell>
          <cell r="EL407">
            <v>7.8881406105457911E-3</v>
          </cell>
          <cell r="EQ407" t="str">
            <v xml:space="preserve"> Programas e Serviços</v>
          </cell>
        </row>
        <row r="408">
          <cell r="A408" t="str">
            <v>LIGHT S/A</v>
          </cell>
          <cell r="C408" t="str">
            <v>NM</v>
          </cell>
          <cell r="F408" t="str">
            <v>FOLLOW-ON</v>
          </cell>
          <cell r="G408" t="str">
            <v>ICVM 476</v>
          </cell>
          <cell r="J408">
            <v>44217</v>
          </cell>
          <cell r="M408" t="str">
            <v>Itaú BBA</v>
          </cell>
          <cell r="W408">
            <v>20</v>
          </cell>
          <cell r="X408">
            <v>44215</v>
          </cell>
          <cell r="AO408">
            <v>1372425280</v>
          </cell>
          <cell r="AP408">
            <v>1372425280</v>
          </cell>
          <cell r="AQ408">
            <v>2744850560</v>
          </cell>
          <cell r="BL408">
            <v>278</v>
          </cell>
          <cell r="DZ408">
            <v>663</v>
          </cell>
          <cell r="ED408">
            <v>518434329.96505809</v>
          </cell>
          <cell r="EF408">
            <v>3.2416190992926039E-3</v>
          </cell>
          <cell r="EH408">
            <v>0.65935919658955855</v>
          </cell>
          <cell r="EJ408">
            <v>0.33726310404308496</v>
          </cell>
          <cell r="EL408">
            <v>1.3608026806384679E-4</v>
          </cell>
          <cell r="EQ408" t="str">
            <v>Energia Elétrica</v>
          </cell>
        </row>
        <row r="409">
          <cell r="A409" t="str">
            <v>HBRREALTY</v>
          </cell>
          <cell r="C409" t="str">
            <v>NM</v>
          </cell>
          <cell r="F409" t="str">
            <v>IPO</v>
          </cell>
          <cell r="G409" t="str">
            <v>ICVM 476</v>
          </cell>
          <cell r="J409">
            <v>44222</v>
          </cell>
          <cell r="M409" t="str">
            <v>Bradesco BBI</v>
          </cell>
          <cell r="W409">
            <v>19.100000000000001</v>
          </cell>
          <cell r="X409">
            <v>44217</v>
          </cell>
          <cell r="AO409">
            <v>802582000</v>
          </cell>
          <cell r="AP409">
            <v>0</v>
          </cell>
          <cell r="AQ409">
            <v>802582000</v>
          </cell>
          <cell r="DZ409">
            <v>31</v>
          </cell>
          <cell r="ED409">
            <v>150957754.956175</v>
          </cell>
          <cell r="EF409">
            <v>0</v>
          </cell>
          <cell r="EH409">
            <v>0.58781532603522135</v>
          </cell>
          <cell r="EJ409">
            <v>8.7101380295097564E-2</v>
          </cell>
          <cell r="EL409">
            <v>0.32508329366968108</v>
          </cell>
          <cell r="EQ409" t="str">
            <v>Exploração de Imóveis</v>
          </cell>
        </row>
        <row r="410">
          <cell r="A410" t="str">
            <v>VAMOS</v>
          </cell>
          <cell r="C410" t="str">
            <v>NM</v>
          </cell>
          <cell r="F410" t="str">
            <v>IPO</v>
          </cell>
          <cell r="G410" t="str">
            <v>ICVM 476</v>
          </cell>
          <cell r="J410">
            <v>44225</v>
          </cell>
          <cell r="M410" t="str">
            <v>BTG Pactual</v>
          </cell>
          <cell r="W410">
            <v>26</v>
          </cell>
          <cell r="X410">
            <v>44223</v>
          </cell>
          <cell r="AO410">
            <v>889598528</v>
          </cell>
          <cell r="AP410">
            <v>415145952</v>
          </cell>
          <cell r="AQ410">
            <v>1304744480</v>
          </cell>
          <cell r="DZ410">
            <v>60</v>
          </cell>
          <cell r="ED410">
            <v>240364113.33407021</v>
          </cell>
          <cell r="EF410">
            <v>0</v>
          </cell>
          <cell r="EH410">
            <v>0.42894771242872015</v>
          </cell>
          <cell r="EJ410">
            <v>0.5710522875712799</v>
          </cell>
          <cell r="EL410">
            <v>0</v>
          </cell>
          <cell r="EQ410" t="str">
            <v>Aluguel de carros</v>
          </cell>
        </row>
        <row r="411">
          <cell r="A411" t="str">
            <v>OMEGA GER</v>
          </cell>
          <cell r="C411" t="str">
            <v>NM</v>
          </cell>
          <cell r="F411" t="str">
            <v>FOLLOW-ON</v>
          </cell>
          <cell r="G411" t="str">
            <v>ICVM 476</v>
          </cell>
          <cell r="J411">
            <v>44229</v>
          </cell>
          <cell r="M411" t="str">
            <v>Itaú BBA</v>
          </cell>
          <cell r="W411">
            <v>39</v>
          </cell>
          <cell r="X411">
            <v>44224</v>
          </cell>
          <cell r="AO411">
            <v>0</v>
          </cell>
          <cell r="AP411">
            <v>954719922</v>
          </cell>
          <cell r="AQ411">
            <v>954719922</v>
          </cell>
          <cell r="DZ411">
            <v>191</v>
          </cell>
          <cell r="ED411">
            <v>175881493.31270033</v>
          </cell>
          <cell r="EF411">
            <v>0</v>
          </cell>
          <cell r="EH411">
            <v>0.67180038168303768</v>
          </cell>
          <cell r="EJ411">
            <v>0.31371023804822207</v>
          </cell>
          <cell r="EL411">
            <v>1.4489380268740217E-2</v>
          </cell>
          <cell r="EQ411" t="str">
            <v>Energia Elétrica</v>
          </cell>
        </row>
        <row r="412">
          <cell r="A412" t="str">
            <v>BTGP BANCO</v>
          </cell>
          <cell r="C412" t="str">
            <v>N2</v>
          </cell>
          <cell r="F412" t="str">
            <v>FOLLOW-ON</v>
          </cell>
          <cell r="G412" t="str">
            <v>ICVM 476</v>
          </cell>
          <cell r="J412">
            <v>44253</v>
          </cell>
          <cell r="M412" t="str">
            <v>BTG Pactual</v>
          </cell>
          <cell r="W412">
            <v>30.84</v>
          </cell>
          <cell r="X412">
            <v>44217</v>
          </cell>
          <cell r="AO412">
            <v>2570000020.5599999</v>
          </cell>
          <cell r="AP412">
            <v>0</v>
          </cell>
          <cell r="AQ412">
            <v>2570000020.5599999</v>
          </cell>
          <cell r="DZ412">
            <v>1674</v>
          </cell>
          <cell r="ED412">
            <v>483391645.14163184</v>
          </cell>
          <cell r="EF412">
            <v>0</v>
          </cell>
          <cell r="EH412">
            <v>0.45258476037932194</v>
          </cell>
          <cell r="EJ412">
            <v>0.16418192268654463</v>
          </cell>
          <cell r="EL412">
            <v>0.38323331693413348</v>
          </cell>
          <cell r="EQ412" t="str">
            <v>Bancos</v>
          </cell>
        </row>
        <row r="413">
          <cell r="A413" t="str">
            <v>PETRORIO</v>
          </cell>
          <cell r="C413" t="str">
            <v>NM</v>
          </cell>
          <cell r="F413" t="str">
            <v>FOLLOW-ON</v>
          </cell>
          <cell r="G413" t="str">
            <v>ICVM 476</v>
          </cell>
          <cell r="J413">
            <v>44228</v>
          </cell>
          <cell r="M413" t="str">
            <v>BTG Pactual</v>
          </cell>
          <cell r="W413">
            <v>69</v>
          </cell>
          <cell r="X413">
            <v>44224</v>
          </cell>
          <cell r="AO413">
            <v>2049300000</v>
          </cell>
          <cell r="AP413">
            <v>0</v>
          </cell>
          <cell r="AQ413">
            <v>2049300000</v>
          </cell>
          <cell r="DZ413">
            <v>1499</v>
          </cell>
          <cell r="ED413">
            <v>377528462.47374821</v>
          </cell>
          <cell r="EF413">
            <v>0</v>
          </cell>
          <cell r="EH413">
            <v>0.55884619528619528</v>
          </cell>
          <cell r="EJ413">
            <v>0.1538776430976431</v>
          </cell>
          <cell r="EL413">
            <v>0.2872761616161616</v>
          </cell>
          <cell r="EQ413" t="str">
            <v>Exploração. Refino e Distribuição</v>
          </cell>
        </row>
        <row r="414">
          <cell r="A414" t="str">
            <v>BRASILAGRO</v>
          </cell>
          <cell r="C414" t="str">
            <v>NM</v>
          </cell>
          <cell r="F414" t="str">
            <v>FOLLOW-ON</v>
          </cell>
          <cell r="G414" t="str">
            <v>ICVM 476</v>
          </cell>
          <cell r="J414">
            <v>44232</v>
          </cell>
          <cell r="M414" t="str">
            <v>BTG Pactual</v>
          </cell>
          <cell r="W414">
            <v>22</v>
          </cell>
          <cell r="X414">
            <v>44230</v>
          </cell>
          <cell r="AO414">
            <v>440000000</v>
          </cell>
          <cell r="AP414">
            <v>60177810</v>
          </cell>
          <cell r="AQ414">
            <v>500177810</v>
          </cell>
          <cell r="DZ414">
            <v>550</v>
          </cell>
          <cell r="ED414">
            <v>93625930.778878018</v>
          </cell>
          <cell r="EF414">
            <v>0</v>
          </cell>
          <cell r="EH414">
            <v>0.37493969194674992</v>
          </cell>
          <cell r="EJ414">
            <v>0.48234940690391681</v>
          </cell>
          <cell r="EL414">
            <v>0.14271090114933327</v>
          </cell>
          <cell r="EQ414" t="str">
            <v>Agricultura</v>
          </cell>
        </row>
        <row r="415">
          <cell r="A415" t="str">
            <v>LOCAWEB</v>
          </cell>
          <cell r="C415" t="str">
            <v>NM</v>
          </cell>
          <cell r="F415" t="str">
            <v>FOLLOW-ON</v>
          </cell>
          <cell r="G415" t="str">
            <v>ICVM 476</v>
          </cell>
          <cell r="J415">
            <v>44238</v>
          </cell>
          <cell r="M415" t="str">
            <v>Itaú BBA</v>
          </cell>
          <cell r="W415">
            <v>30</v>
          </cell>
          <cell r="X415">
            <v>44236</v>
          </cell>
          <cell r="AO415">
            <v>2346000000</v>
          </cell>
          <cell r="AP415">
            <v>408000000</v>
          </cell>
          <cell r="AQ415">
            <v>2754000000</v>
          </cell>
          <cell r="BL415">
            <v>1530</v>
          </cell>
          <cell r="DZ415">
            <v>2638</v>
          </cell>
          <cell r="ED415">
            <v>507968127.49003989</v>
          </cell>
          <cell r="EF415">
            <v>6.4046949891067538E-3</v>
          </cell>
          <cell r="EH415">
            <v>0.37809911764705884</v>
          </cell>
          <cell r="EJ415">
            <v>0.6119605664488017</v>
          </cell>
          <cell r="EL415">
            <v>3.5356209150326796E-3</v>
          </cell>
          <cell r="EQ415" t="str">
            <v>Programas e Serviços</v>
          </cell>
        </row>
        <row r="416">
          <cell r="A416" t="str">
            <v>ESPACOLASER</v>
          </cell>
          <cell r="C416" t="str">
            <v>NM</v>
          </cell>
          <cell r="F416" t="str">
            <v>IPO</v>
          </cell>
          <cell r="G416" t="str">
            <v>ICVM 400</v>
          </cell>
          <cell r="J416">
            <v>44228</v>
          </cell>
          <cell r="M416" t="str">
            <v>Itaú BBA</v>
          </cell>
          <cell r="W416">
            <v>17.899999999999999</v>
          </cell>
          <cell r="X416">
            <v>44224</v>
          </cell>
          <cell r="AO416">
            <v>1199999997.3999999</v>
          </cell>
          <cell r="AP416">
            <v>1441623254.7999997</v>
          </cell>
          <cell r="AQ416">
            <v>2641623252.1999998</v>
          </cell>
          <cell r="BL416">
            <v>7135</v>
          </cell>
          <cell r="DZ416">
            <v>7837</v>
          </cell>
          <cell r="ED416">
            <v>486648106.59150356</v>
          </cell>
          <cell r="EF416">
            <v>9.7176107412823759E-2</v>
          </cell>
          <cell r="EH416">
            <v>0.62087119324607831</v>
          </cell>
          <cell r="EJ416">
            <v>0.27451244714630396</v>
          </cell>
          <cell r="EL416">
            <v>7.440252194794033E-3</v>
          </cell>
          <cell r="EQ416" t="str">
            <v>Produtos Diversos</v>
          </cell>
        </row>
        <row r="417">
          <cell r="A417" t="str">
            <v>INTELBRAS</v>
          </cell>
          <cell r="C417" t="str">
            <v>NM</v>
          </cell>
          <cell r="F417" t="str">
            <v>IPO</v>
          </cell>
          <cell r="G417" t="str">
            <v>ICVM 400</v>
          </cell>
          <cell r="J417">
            <v>44231</v>
          </cell>
          <cell r="M417" t="str">
            <v>BTG Pactual</v>
          </cell>
          <cell r="W417">
            <v>15.75</v>
          </cell>
          <cell r="X417">
            <v>44229</v>
          </cell>
          <cell r="AO417">
            <v>724500000</v>
          </cell>
          <cell r="AP417">
            <v>579600000</v>
          </cell>
          <cell r="AQ417">
            <v>1304100000</v>
          </cell>
          <cell r="BL417">
            <v>16772</v>
          </cell>
          <cell r="DZ417">
            <v>17280</v>
          </cell>
          <cell r="ED417">
            <v>242060324.82598606</v>
          </cell>
          <cell r="EF417">
            <v>0.11571812801932367</v>
          </cell>
          <cell r="EH417">
            <v>0.7701834541062802</v>
          </cell>
          <cell r="EJ417">
            <v>0.12442478260869565</v>
          </cell>
          <cell r="EL417">
            <v>0</v>
          </cell>
          <cell r="EQ417" t="str">
            <v>Computadores e Equipamentos</v>
          </cell>
        </row>
        <row r="418">
          <cell r="A418" t="str">
            <v>MOSAICO</v>
          </cell>
          <cell r="C418" t="str">
            <v>NM</v>
          </cell>
          <cell r="F418" t="str">
            <v>IPO</v>
          </cell>
          <cell r="G418" t="str">
            <v>ICVM 400</v>
          </cell>
          <cell r="J418">
            <v>44232</v>
          </cell>
          <cell r="M418" t="str">
            <v>BTG Pactual</v>
          </cell>
          <cell r="W418">
            <v>19.8</v>
          </cell>
          <cell r="X418">
            <v>44230</v>
          </cell>
          <cell r="AO418">
            <v>578571444</v>
          </cell>
          <cell r="AP418">
            <v>636428667.60000002</v>
          </cell>
          <cell r="AQ418">
            <v>1215000111.5999999</v>
          </cell>
          <cell r="BL418">
            <v>31017</v>
          </cell>
          <cell r="DZ418">
            <v>32377</v>
          </cell>
          <cell r="ED418">
            <v>225484394.55125824</v>
          </cell>
          <cell r="EF418">
            <v>0.11398399397480351</v>
          </cell>
          <cell r="EH418">
            <v>0.72383819721782483</v>
          </cell>
          <cell r="EJ418">
            <v>0.15387323327386596</v>
          </cell>
          <cell r="EL418">
            <v>8.3045755335056544E-3</v>
          </cell>
          <cell r="EQ418" t="str">
            <v>Programas e Serviços</v>
          </cell>
        </row>
        <row r="419">
          <cell r="A419" t="str">
            <v>MOBLY</v>
          </cell>
          <cell r="C419" t="str">
            <v>NM</v>
          </cell>
          <cell r="F419" t="str">
            <v>IPO</v>
          </cell>
          <cell r="G419" t="str">
            <v>ICVM 400</v>
          </cell>
          <cell r="J419">
            <v>44232</v>
          </cell>
          <cell r="M419" t="str">
            <v>Morgan Stanley</v>
          </cell>
          <cell r="W419">
            <v>21</v>
          </cell>
          <cell r="X419">
            <v>44230</v>
          </cell>
          <cell r="AO419">
            <v>777777798</v>
          </cell>
          <cell r="AP419">
            <v>155555547</v>
          </cell>
          <cell r="AQ419">
            <v>933333345</v>
          </cell>
          <cell r="BL419">
            <v>3249</v>
          </cell>
          <cell r="DZ419">
            <v>3591</v>
          </cell>
          <cell r="ED419">
            <v>173211592.49498925</v>
          </cell>
          <cell r="EF419">
            <v>9.5778246302771916E-2</v>
          </cell>
          <cell r="EH419">
            <v>0.37631791779602602</v>
          </cell>
          <cell r="EJ419">
            <v>0.44151364698107942</v>
          </cell>
          <cell r="EL419">
            <v>8.6390188920122638E-2</v>
          </cell>
          <cell r="EQ419" t="str">
            <v>Programas e Serviços</v>
          </cell>
        </row>
        <row r="420">
          <cell r="A420" t="str">
            <v>JALLESMACHADO</v>
          </cell>
          <cell r="C420" t="str">
            <v>NM</v>
          </cell>
          <cell r="F420" t="str">
            <v>IPO</v>
          </cell>
          <cell r="G420" t="str">
            <v>ICVM 400</v>
          </cell>
          <cell r="J420">
            <v>44235</v>
          </cell>
          <cell r="M420" t="str">
            <v>XP Investimentos</v>
          </cell>
          <cell r="W420">
            <v>8.3000000000000007</v>
          </cell>
          <cell r="X420">
            <v>44231</v>
          </cell>
          <cell r="AO420">
            <v>552760005.30000007</v>
          </cell>
          <cell r="AP420">
            <v>138189995.10000002</v>
          </cell>
          <cell r="AQ420">
            <v>690950000.4000001</v>
          </cell>
          <cell r="BL420">
            <v>3985</v>
          </cell>
          <cell r="DZ420">
            <v>4465</v>
          </cell>
          <cell r="ED420">
            <v>128740450.97820012</v>
          </cell>
          <cell r="EF420">
            <v>9.4690080946900818E-2</v>
          </cell>
          <cell r="EH420">
            <v>0.59891578348915786</v>
          </cell>
          <cell r="EJ420">
            <v>0.29106532416065323</v>
          </cell>
          <cell r="EL420">
            <v>1.5328811403288112E-2</v>
          </cell>
          <cell r="EQ420" t="str">
            <v>Açucar e Alcool</v>
          </cell>
        </row>
        <row r="421">
          <cell r="A421" t="str">
            <v>FOCUS ON</v>
          </cell>
          <cell r="C421" t="str">
            <v>NM</v>
          </cell>
          <cell r="F421" t="str">
            <v>IPO</v>
          </cell>
          <cell r="G421" t="str">
            <v>ICVM 400</v>
          </cell>
          <cell r="J421">
            <v>44235</v>
          </cell>
          <cell r="M421" t="str">
            <v>Morgan Stanley</v>
          </cell>
          <cell r="W421">
            <v>18.02</v>
          </cell>
          <cell r="X421">
            <v>44217</v>
          </cell>
          <cell r="AO421">
            <v>764999996.60000002</v>
          </cell>
          <cell r="AP421">
            <v>7649994.5599999996</v>
          </cell>
          <cell r="AQ421">
            <v>772649991.15999997</v>
          </cell>
          <cell r="BL421">
            <v>1776</v>
          </cell>
          <cell r="DZ421">
            <v>2019</v>
          </cell>
          <cell r="ED421">
            <v>143963106.23439538</v>
          </cell>
          <cell r="EF421">
            <v>0.10764379418113598</v>
          </cell>
          <cell r="EH421">
            <v>0.41945926921486615</v>
          </cell>
          <cell r="EJ421">
            <v>0.46889423843689226</v>
          </cell>
          <cell r="EL421">
            <v>4.0026981671056321E-3</v>
          </cell>
          <cell r="EQ421" t="str">
            <v>Energia Elétrica</v>
          </cell>
        </row>
        <row r="422">
          <cell r="A422" t="str">
            <v>CRUZEIRO SUL</v>
          </cell>
          <cell r="C422" t="str">
            <v>NM</v>
          </cell>
          <cell r="F422" t="str">
            <v>IPO</v>
          </cell>
          <cell r="G422" t="str">
            <v>ICVM 400</v>
          </cell>
          <cell r="J422">
            <v>44238</v>
          </cell>
          <cell r="M422" t="str">
            <v>BTG Pactual</v>
          </cell>
          <cell r="W422">
            <v>14</v>
          </cell>
          <cell r="X422">
            <v>44236</v>
          </cell>
          <cell r="AO422">
            <v>1071000000</v>
          </cell>
          <cell r="AP422">
            <v>160650000</v>
          </cell>
          <cell r="AQ422">
            <v>1231650000</v>
          </cell>
          <cell r="BL422">
            <v>2517</v>
          </cell>
          <cell r="DZ422">
            <v>2763</v>
          </cell>
          <cell r="ED422">
            <v>229674038.71256483</v>
          </cell>
          <cell r="EF422">
            <v>8.5581823070060736E-2</v>
          </cell>
          <cell r="EH422">
            <v>0.51325041651900105</v>
          </cell>
          <cell r="EJ422">
            <v>0.29283083218255956</v>
          </cell>
          <cell r="EL422">
            <v>4.2601339378459963E-3</v>
          </cell>
          <cell r="EQ422" t="str">
            <v>Serviços Educacionais</v>
          </cell>
        </row>
        <row r="423">
          <cell r="A423" t="str">
            <v>OCEANPACT</v>
          </cell>
          <cell r="C423" t="str">
            <v>NM</v>
          </cell>
          <cell r="F423" t="str">
            <v>IPO</v>
          </cell>
          <cell r="G423" t="str">
            <v>ICVM 400</v>
          </cell>
          <cell r="J423">
            <v>44239</v>
          </cell>
          <cell r="M423" t="str">
            <v>Itaú BBA</v>
          </cell>
          <cell r="W423">
            <v>11.15</v>
          </cell>
          <cell r="X423">
            <v>44237</v>
          </cell>
          <cell r="AO423">
            <v>800000000.85000002</v>
          </cell>
          <cell r="AP423">
            <v>270000004.05000001</v>
          </cell>
          <cell r="AQ423">
            <v>1070000004.9000001</v>
          </cell>
          <cell r="BL423">
            <v>2831</v>
          </cell>
          <cell r="DZ423">
            <v>3114</v>
          </cell>
          <cell r="ED423">
            <v>198829323.59007713</v>
          </cell>
          <cell r="EF423">
            <v>0.11195127376869271</v>
          </cell>
          <cell r="EH423">
            <v>0.76251232897545029</v>
          </cell>
          <cell r="EJ423">
            <v>0.12184188130112092</v>
          </cell>
          <cell r="EL423">
            <v>3.6945159547361181E-3</v>
          </cell>
          <cell r="EQ423" t="str">
            <v>Equipamentos e Serviços</v>
          </cell>
        </row>
        <row r="424">
          <cell r="A424" t="str">
            <v>ORIZON</v>
          </cell>
          <cell r="C424" t="str">
            <v>NM</v>
          </cell>
          <cell r="F424" t="str">
            <v>IPO</v>
          </cell>
          <cell r="G424" t="str">
            <v>ICVM 400</v>
          </cell>
          <cell r="J424">
            <v>44244</v>
          </cell>
          <cell r="M424" t="str">
            <v>Credit Suisse</v>
          </cell>
          <cell r="W424">
            <v>22</v>
          </cell>
          <cell r="X424">
            <v>44238</v>
          </cell>
          <cell r="AO424">
            <v>381399040</v>
          </cell>
          <cell r="AP424">
            <v>105465778</v>
          </cell>
          <cell r="AQ424">
            <v>486864818</v>
          </cell>
          <cell r="BL424">
            <v>4867</v>
          </cell>
          <cell r="DZ424">
            <v>5233</v>
          </cell>
          <cell r="ED424">
            <v>89930329.528242633</v>
          </cell>
          <cell r="EF424">
            <v>0.16893483180195071</v>
          </cell>
          <cell r="EH424">
            <v>0.52484073412799037</v>
          </cell>
          <cell r="EJ424">
            <v>0.28380371990175757</v>
          </cell>
          <cell r="EL424">
            <v>2.2420714168301346E-2</v>
          </cell>
          <cell r="EQ424" t="str">
            <v>Água e Saneamento</v>
          </cell>
        </row>
        <row r="425">
          <cell r="A425" t="str">
            <v>ELETROMIDIA</v>
          </cell>
          <cell r="C425" t="str">
            <v>NM</v>
          </cell>
          <cell r="F425" t="str">
            <v>IPO</v>
          </cell>
          <cell r="G425" t="str">
            <v>ICVM 400</v>
          </cell>
          <cell r="J425">
            <v>44244</v>
          </cell>
          <cell r="M425" t="str">
            <v>Morgan Stanley</v>
          </cell>
          <cell r="W425">
            <v>17.809999999999999</v>
          </cell>
          <cell r="X425">
            <v>44238</v>
          </cell>
          <cell r="AO425">
            <v>700000001.21999991</v>
          </cell>
          <cell r="AP425">
            <v>57944300.699999996</v>
          </cell>
          <cell r="AQ425">
            <v>757944301.91999996</v>
          </cell>
          <cell r="BL425">
            <v>2769</v>
          </cell>
          <cell r="DZ425">
            <v>3019</v>
          </cell>
          <cell r="ED425">
            <v>140002272.32627729</v>
          </cell>
          <cell r="EF425">
            <v>9.0998319276082373E-2</v>
          </cell>
          <cell r="EH425">
            <v>0.49990118677220252</v>
          </cell>
          <cell r="EJ425">
            <v>0.40461818209161043</v>
          </cell>
          <cell r="EL425">
            <v>4.4823118601046621E-3</v>
          </cell>
          <cell r="EQ425" t="str">
            <v>Publicidade e Propaganda</v>
          </cell>
        </row>
        <row r="426">
          <cell r="A426" t="str">
            <v>BEMOBI TECH</v>
          </cell>
          <cell r="C426" t="str">
            <v>NM</v>
          </cell>
          <cell r="F426" t="str">
            <v>IPO</v>
          </cell>
          <cell r="G426" t="str">
            <v>ICVM 400</v>
          </cell>
          <cell r="J426">
            <v>44237</v>
          </cell>
          <cell r="M426" t="str">
            <v>BTG Pactual</v>
          </cell>
          <cell r="W426">
            <v>22</v>
          </cell>
          <cell r="X426">
            <v>44235</v>
          </cell>
          <cell r="AO426">
            <v>1094117684</v>
          </cell>
          <cell r="AP426">
            <v>164117646</v>
          </cell>
          <cell r="AQ426">
            <v>1258235330</v>
          </cell>
          <cell r="BL426">
            <v>12697</v>
          </cell>
          <cell r="DZ426">
            <v>13620</v>
          </cell>
          <cell r="ED426">
            <v>232903030.13475493</v>
          </cell>
          <cell r="EF426">
            <v>0.11008118807155097</v>
          </cell>
          <cell r="EH426">
            <v>0.76181171609606602</v>
          </cell>
          <cell r="EJ426">
            <v>0.12747788762218273</v>
          </cell>
          <cell r="EL426">
            <v>6.2920821020023333E-4</v>
          </cell>
          <cell r="EQ426" t="str">
            <v>Programas e Serviços</v>
          </cell>
        </row>
        <row r="427">
          <cell r="A427" t="str">
            <v>CSNMINERACAO</v>
          </cell>
          <cell r="C427" t="str">
            <v>N2</v>
          </cell>
          <cell r="F427" t="str">
            <v>IPO</v>
          </cell>
          <cell r="G427" t="str">
            <v>ICVM 400</v>
          </cell>
          <cell r="J427">
            <v>44245</v>
          </cell>
          <cell r="M427" t="str">
            <v>Morgan Stanley</v>
          </cell>
          <cell r="W427">
            <v>8.5</v>
          </cell>
          <cell r="X427">
            <v>44239</v>
          </cell>
          <cell r="AO427">
            <v>1796903408.5</v>
          </cell>
          <cell r="AP427">
            <v>3168372815.5</v>
          </cell>
          <cell r="AQ427">
            <v>4965276224</v>
          </cell>
          <cell r="BL427">
            <v>66255</v>
          </cell>
          <cell r="DZ427">
            <v>67524</v>
          </cell>
          <cell r="ED427">
            <v>915460788.37715256</v>
          </cell>
          <cell r="EF427">
            <v>0.19860505953031804</v>
          </cell>
          <cell r="EH427">
            <v>0.28802972580913372</v>
          </cell>
          <cell r="EJ427">
            <v>0.50339133138008563</v>
          </cell>
          <cell r="EL427">
            <v>9.9738832804625952E-3</v>
          </cell>
          <cell r="EQ427" t="str">
            <v>Minerais Metálicos</v>
          </cell>
        </row>
        <row r="428">
          <cell r="A428" t="str">
            <v>WESTWING</v>
          </cell>
          <cell r="C428" t="str">
            <v>NM</v>
          </cell>
          <cell r="F428" t="str">
            <v>IPO</v>
          </cell>
          <cell r="G428" t="str">
            <v>ICVM 400</v>
          </cell>
          <cell r="J428">
            <v>44238</v>
          </cell>
          <cell r="M428" t="str">
            <v>BTG Pactual</v>
          </cell>
          <cell r="W428">
            <v>13</v>
          </cell>
          <cell r="X428">
            <v>44235</v>
          </cell>
          <cell r="AO428">
            <v>430294306</v>
          </cell>
          <cell r="AP428">
            <v>602412018</v>
          </cell>
          <cell r="AQ428">
            <v>1032706324</v>
          </cell>
          <cell r="BL428">
            <v>8368</v>
          </cell>
          <cell r="DZ428">
            <v>9130</v>
          </cell>
          <cell r="ED428">
            <v>191156953.20598254</v>
          </cell>
          <cell r="EF428">
            <v>0.12000294375613077</v>
          </cell>
          <cell r="EH428">
            <v>0.76901535766122264</v>
          </cell>
          <cell r="EJ428">
            <v>0.11066362342766184</v>
          </cell>
          <cell r="EL428">
            <v>3.1807515498470966E-4</v>
          </cell>
          <cell r="EQ428" t="str">
            <v>Programas e Serviços</v>
          </cell>
        </row>
        <row r="429">
          <cell r="A429" t="str">
            <v>3R PETROLEUM</v>
          </cell>
          <cell r="C429" t="str">
            <v>NM</v>
          </cell>
          <cell r="F429" t="str">
            <v>FOLLOW-ON</v>
          </cell>
          <cell r="G429" t="str">
            <v>ICVM 476</v>
          </cell>
          <cell r="J429">
            <v>44287</v>
          </cell>
          <cell r="M429" t="str">
            <v>BTG Pactual</v>
          </cell>
          <cell r="W429">
            <v>36</v>
          </cell>
          <cell r="X429">
            <v>44285</v>
          </cell>
          <cell r="AO429">
            <v>822798000</v>
          </cell>
          <cell r="AP429">
            <v>0</v>
          </cell>
          <cell r="AQ429">
            <v>822798000</v>
          </cell>
          <cell r="DZ429">
            <v>1184</v>
          </cell>
          <cell r="ED429">
            <v>144418935.28513506</v>
          </cell>
          <cell r="EF429">
            <v>9.6256918466014745E-5</v>
          </cell>
          <cell r="EH429">
            <v>0.6228496860711864</v>
          </cell>
          <cell r="EJ429">
            <v>0.23298549583251296</v>
          </cell>
          <cell r="EL429">
            <v>0.14406856117783465</v>
          </cell>
          <cell r="EQ429" t="str">
            <v>Exploração. Refino e Distribuição</v>
          </cell>
        </row>
        <row r="430">
          <cell r="A430" t="str">
            <v>DASA</v>
          </cell>
          <cell r="C430" t="str">
            <v>BÁSICO</v>
          </cell>
          <cell r="F430" t="str">
            <v>FOLLOW-ON</v>
          </cell>
          <cell r="G430" t="str">
            <v>ICVM 476</v>
          </cell>
          <cell r="J430">
            <v>44294</v>
          </cell>
          <cell r="M430" t="str">
            <v>Bradesco BBI</v>
          </cell>
          <cell r="W430">
            <v>58</v>
          </cell>
          <cell r="X430">
            <v>44293</v>
          </cell>
          <cell r="AO430">
            <v>3666272974</v>
          </cell>
          <cell r="AP430">
            <v>120734888</v>
          </cell>
          <cell r="AQ430">
            <v>3787007862</v>
          </cell>
          <cell r="BL430">
            <v>35</v>
          </cell>
          <cell r="DZ430">
            <v>287</v>
          </cell>
          <cell r="ED430">
            <v>677897726.97980809</v>
          </cell>
          <cell r="EF430">
            <v>1.75500559866543E-4</v>
          </cell>
          <cell r="EH430">
            <v>0.21457786770235124</v>
          </cell>
          <cell r="EJ430">
            <v>0.52594658384155213</v>
          </cell>
          <cell r="EL430">
            <v>0.26342822416881478</v>
          </cell>
          <cell r="EQ430" t="str">
            <v>Serv. Méd. Hospit., Análises e Diagnósticos</v>
          </cell>
        </row>
        <row r="431">
          <cell r="A431" t="str">
            <v>ALLIED</v>
          </cell>
          <cell r="C431" t="str">
            <v>NM</v>
          </cell>
          <cell r="F431" t="str">
            <v>IPO</v>
          </cell>
          <cell r="G431" t="str">
            <v>ICVM 476</v>
          </cell>
          <cell r="J431">
            <v>44298</v>
          </cell>
          <cell r="M431" t="str">
            <v>BTG Pactual</v>
          </cell>
          <cell r="W431">
            <v>18</v>
          </cell>
          <cell r="X431">
            <v>44294</v>
          </cell>
          <cell r="AO431">
            <v>180000000</v>
          </cell>
          <cell r="AP431">
            <v>90000000</v>
          </cell>
          <cell r="AQ431">
            <v>270000000</v>
          </cell>
          <cell r="BL431">
            <v>2</v>
          </cell>
          <cell r="DZ431">
            <v>38</v>
          </cell>
          <cell r="ED431">
            <v>48372359.67536772</v>
          </cell>
          <cell r="EF431">
            <v>1.11112E-2</v>
          </cell>
          <cell r="EH431">
            <v>0.70435119999999996</v>
          </cell>
          <cell r="EJ431">
            <v>0.14803333333333332</v>
          </cell>
          <cell r="EL431">
            <v>0</v>
          </cell>
          <cell r="EQ431" t="str">
            <v>Eletrodomésticos</v>
          </cell>
        </row>
        <row r="432">
          <cell r="A432" t="str">
            <v>MATER DEI</v>
          </cell>
          <cell r="C432" t="str">
            <v>NM</v>
          </cell>
          <cell r="F432" t="str">
            <v>IPO</v>
          </cell>
          <cell r="G432" t="str">
            <v>ICVM 400</v>
          </cell>
          <cell r="J432">
            <v>44302</v>
          </cell>
          <cell r="M432" t="str">
            <v>BTG Pactual</v>
          </cell>
          <cell r="W432">
            <v>17.440000000000001</v>
          </cell>
          <cell r="X432">
            <v>44300</v>
          </cell>
          <cell r="AO432">
            <v>1194727566.24</v>
          </cell>
          <cell r="AP432">
            <v>218399986.40000001</v>
          </cell>
          <cell r="AQ432">
            <v>1413127552.6400001</v>
          </cell>
          <cell r="BL432">
            <v>2765</v>
          </cell>
          <cell r="DZ432">
            <v>3069</v>
          </cell>
          <cell r="ED432">
            <v>248195790.47351414</v>
          </cell>
          <cell r="EF432">
            <v>9.0488449749932545E-2</v>
          </cell>
          <cell r="EH432">
            <v>0.70953329421474343</v>
          </cell>
          <cell r="EJ432">
            <v>0.19014414983468853</v>
          </cell>
          <cell r="EL432">
            <v>9.8341062006356075E-3</v>
          </cell>
          <cell r="EQ432" t="str">
            <v>Serv.Méd.Hospit..Análises e Diagnósticos</v>
          </cell>
        </row>
        <row r="433">
          <cell r="A433" t="str">
            <v>BLAU</v>
          </cell>
          <cell r="C433" t="str">
            <v>NM</v>
          </cell>
          <cell r="F433" t="str">
            <v>IPO</v>
          </cell>
          <cell r="G433" t="str">
            <v>ICVM 400</v>
          </cell>
          <cell r="J433">
            <v>44305</v>
          </cell>
          <cell r="M433" t="str">
            <v>Itaú BBA</v>
          </cell>
          <cell r="W433">
            <v>40.14</v>
          </cell>
          <cell r="X433">
            <v>44294</v>
          </cell>
          <cell r="AO433">
            <v>1260152711.46</v>
          </cell>
          <cell r="AP433">
            <v>0</v>
          </cell>
          <cell r="AQ433">
            <v>1260152711.46</v>
          </cell>
          <cell r="BL433">
            <v>1765</v>
          </cell>
          <cell r="DZ433">
            <v>2017</v>
          </cell>
          <cell r="ED433">
            <v>225765037.79493704</v>
          </cell>
          <cell r="EF433">
            <v>5.3142901246001656E-2</v>
          </cell>
          <cell r="EH433">
            <v>0.45854825671923494</v>
          </cell>
          <cell r="EJ433">
            <v>0.48559204373812415</v>
          </cell>
          <cell r="EL433">
            <v>2.7167982966393609E-3</v>
          </cell>
          <cell r="EQ433" t="str">
            <v>Medicamentos e Outros Produtos</v>
          </cell>
        </row>
        <row r="434">
          <cell r="A434" t="str">
            <v>GPS</v>
          </cell>
          <cell r="C434" t="str">
            <v>NM</v>
          </cell>
          <cell r="F434" t="str">
            <v>IPO</v>
          </cell>
          <cell r="G434" t="str">
            <v>ICVM 400</v>
          </cell>
          <cell r="J434">
            <v>44312</v>
          </cell>
          <cell r="M434" t="str">
            <v>Itaú BBA</v>
          </cell>
          <cell r="W434">
            <v>12</v>
          </cell>
          <cell r="X434">
            <v>44308</v>
          </cell>
          <cell r="AO434">
            <v>1082251080</v>
          </cell>
          <cell r="AP434">
            <v>1406926404</v>
          </cell>
          <cell r="AQ434">
            <v>2489177484</v>
          </cell>
          <cell r="BL434">
            <v>1669</v>
          </cell>
          <cell r="DZ434">
            <v>1994</v>
          </cell>
          <cell r="ED434">
            <v>452824719.665272</v>
          </cell>
          <cell r="EF434">
            <v>3.9643509807675892E-2</v>
          </cell>
          <cell r="EH434">
            <v>0.70778085505131461</v>
          </cell>
          <cell r="EJ434">
            <v>0.24847309923682404</v>
          </cell>
          <cell r="EL434">
            <v>4.1025359041854488E-3</v>
          </cell>
          <cell r="EQ434" t="str">
            <v>Serviços Diversos</v>
          </cell>
        </row>
        <row r="435">
          <cell r="A435" t="str">
            <v>BOA SAFRA</v>
          </cell>
          <cell r="C435" t="str">
            <v>NM</v>
          </cell>
          <cell r="F435" t="str">
            <v>IPO</v>
          </cell>
          <cell r="G435" t="str">
            <v>ICVM 400</v>
          </cell>
          <cell r="J435">
            <v>44315</v>
          </cell>
          <cell r="M435" t="str">
            <v>XP Investimentos</v>
          </cell>
          <cell r="W435">
            <v>9.9</v>
          </cell>
          <cell r="X435">
            <v>44313</v>
          </cell>
          <cell r="AO435">
            <v>459999995.39999998</v>
          </cell>
          <cell r="AP435">
            <v>0</v>
          </cell>
          <cell r="AQ435">
            <v>459999995.39999998</v>
          </cell>
          <cell r="BL435">
            <v>15557</v>
          </cell>
          <cell r="DZ435">
            <v>16158</v>
          </cell>
          <cell r="ED435">
            <v>84521533.771865353</v>
          </cell>
          <cell r="EF435">
            <v>0.13878153725738057</v>
          </cell>
          <cell r="EH435">
            <v>0.69979222482400927</v>
          </cell>
          <cell r="EJ435">
            <v>0.14841638952764213</v>
          </cell>
          <cell r="EL435">
            <v>1.4447909492305183E-2</v>
          </cell>
          <cell r="EQ435" t="str">
            <v>Agricultura</v>
          </cell>
        </row>
        <row r="436">
          <cell r="A436" t="str">
            <v>CAIXA SEGURI²</v>
          </cell>
          <cell r="C436" t="str">
            <v>NM</v>
          </cell>
          <cell r="F436" t="str">
            <v>IPO</v>
          </cell>
          <cell r="G436" t="str">
            <v>ICVM 400</v>
          </cell>
          <cell r="J436">
            <v>44315</v>
          </cell>
          <cell r="M436" t="str">
            <v>Morgan Stanley</v>
          </cell>
          <cell r="W436">
            <v>9.67</v>
          </cell>
          <cell r="X436">
            <v>44313</v>
          </cell>
          <cell r="AO436">
            <v>0</v>
          </cell>
          <cell r="AP436">
            <v>4351500000</v>
          </cell>
          <cell r="AQ436">
            <v>4351500000</v>
          </cell>
          <cell r="DZ436">
            <v>0</v>
          </cell>
          <cell r="ED436">
            <v>799555343.23092747</v>
          </cell>
          <cell r="EF436">
            <v>0</v>
          </cell>
          <cell r="EH436">
            <v>0</v>
          </cell>
          <cell r="EJ436">
            <v>0</v>
          </cell>
          <cell r="EL436">
            <v>0</v>
          </cell>
          <cell r="EQ436" t="str">
            <v>Seguradoras</v>
          </cell>
        </row>
        <row r="437">
          <cell r="A437" t="str">
            <v>MODALMAIS</v>
          </cell>
          <cell r="C437" t="str">
            <v>N2</v>
          </cell>
          <cell r="F437" t="str">
            <v>IPO</v>
          </cell>
          <cell r="G437" t="str">
            <v>ICVM 400</v>
          </cell>
          <cell r="J437">
            <v>44316</v>
          </cell>
          <cell r="M437" t="str">
            <v>Credit Suisse</v>
          </cell>
          <cell r="W437">
            <v>20.010000000000002</v>
          </cell>
          <cell r="X437">
            <v>44314</v>
          </cell>
          <cell r="AO437">
            <v>2477788275</v>
          </cell>
          <cell r="AP437">
            <v>715357500</v>
          </cell>
          <cell r="AQ437">
            <v>3193145775</v>
          </cell>
          <cell r="BL437">
            <v>4310</v>
          </cell>
          <cell r="DZ437">
            <v>4770</v>
          </cell>
          <cell r="ED437">
            <v>591268544.57920563</v>
          </cell>
          <cell r="EF437">
            <v>7.2683684162704057E-2</v>
          </cell>
          <cell r="EH437">
            <v>0.15698319047763273</v>
          </cell>
          <cell r="EJ437">
            <v>0.12132978162764636</v>
          </cell>
          <cell r="EL437">
            <v>4.5777447981342947E-3</v>
          </cell>
          <cell r="EQ437" t="str">
            <v>Bancos</v>
          </cell>
        </row>
        <row r="438">
          <cell r="A438" t="str">
            <v>SEQUOIA LOG</v>
          </cell>
          <cell r="C438" t="str">
            <v>NM</v>
          </cell>
          <cell r="F438" t="str">
            <v>FOLLOW-ON</v>
          </cell>
          <cell r="G438" t="str">
            <v>ICVM 476</v>
          </cell>
          <cell r="J438">
            <v>44305</v>
          </cell>
          <cell r="M438" t="str">
            <v>BTG Pactual</v>
          </cell>
          <cell r="W438">
            <v>25</v>
          </cell>
          <cell r="X438">
            <v>44301</v>
          </cell>
          <cell r="AO438">
            <v>207182325</v>
          </cell>
          <cell r="AP438">
            <v>918282900</v>
          </cell>
          <cell r="AQ438">
            <v>1125465225</v>
          </cell>
          <cell r="DZ438">
            <v>290</v>
          </cell>
          <cell r="ED438">
            <v>200139635.27403349</v>
          </cell>
          <cell r="EF438">
            <v>0</v>
          </cell>
          <cell r="EH438">
            <v>0.37950826068393184</v>
          </cell>
          <cell r="EJ438">
            <v>0.35111595740330404</v>
          </cell>
          <cell r="EL438">
            <v>6.3493432238210648E-2</v>
          </cell>
          <cell r="EQ438" t="str">
            <v>Serviços Diversos</v>
          </cell>
        </row>
        <row r="439">
          <cell r="A439" t="str">
            <v>ALUPAR</v>
          </cell>
          <cell r="C439" t="str">
            <v>N2</v>
          </cell>
          <cell r="F439" t="str">
            <v>FOLLOW-ON</v>
          </cell>
          <cell r="G439" t="str">
            <v>ICVM 476</v>
          </cell>
          <cell r="J439">
            <v>44309</v>
          </cell>
          <cell r="M439" t="str">
            <v>Itaú BBA</v>
          </cell>
          <cell r="W439">
            <v>25.5</v>
          </cell>
          <cell r="X439">
            <v>44306</v>
          </cell>
          <cell r="AO439">
            <v>0</v>
          </cell>
          <cell r="AP439">
            <v>896650227</v>
          </cell>
          <cell r="AQ439">
            <v>896650227</v>
          </cell>
          <cell r="DZ439">
            <v>155</v>
          </cell>
          <cell r="ED439">
            <v>162242649.54945174</v>
          </cell>
          <cell r="EF439">
            <v>0</v>
          </cell>
          <cell r="EH439">
            <v>0.80158505218334153</v>
          </cell>
          <cell r="EJ439">
            <v>0.1984149478166585</v>
          </cell>
          <cell r="EL439">
            <v>0</v>
          </cell>
          <cell r="EQ439" t="str">
            <v>Energia Elétrica</v>
          </cell>
        </row>
        <row r="440">
          <cell r="A440" t="str">
            <v>HAPVIDA</v>
          </cell>
          <cell r="C440" t="str">
            <v>NM</v>
          </cell>
          <cell r="F440" t="str">
            <v>FOLLOW-ON</v>
          </cell>
          <cell r="G440" t="str">
            <v>ICVM 476</v>
          </cell>
          <cell r="J440">
            <v>44309</v>
          </cell>
          <cell r="M440" t="str">
            <v>BTG  Pactual</v>
          </cell>
          <cell r="W440">
            <v>15</v>
          </cell>
          <cell r="X440">
            <v>44306</v>
          </cell>
          <cell r="AO440">
            <v>2025000000</v>
          </cell>
          <cell r="AP440">
            <v>675000000</v>
          </cell>
          <cell r="AQ440">
            <v>2700000000</v>
          </cell>
          <cell r="DZ440">
            <v>1058</v>
          </cell>
          <cell r="ED440">
            <v>488546303.33297145</v>
          </cell>
          <cell r="EF440">
            <v>2.4444444444444445E-5</v>
          </cell>
          <cell r="EH440">
            <v>0.60717268888888887</v>
          </cell>
          <cell r="EJ440">
            <v>0.29644723888888891</v>
          </cell>
          <cell r="EL440">
            <v>9.6355627777777772E-2</v>
          </cell>
          <cell r="EQ440" t="str">
            <v>Serv. Méd. Hospit., Análises e Diagnósticos</v>
          </cell>
        </row>
        <row r="441">
          <cell r="A441" t="str">
            <v>LOJAS RENNER</v>
          </cell>
          <cell r="C441" t="str">
            <v>NM</v>
          </cell>
          <cell r="F441" t="str">
            <v>FOLLOW-ON</v>
          </cell>
          <cell r="G441" t="str">
            <v>ICVM 476</v>
          </cell>
          <cell r="J441">
            <v>44319</v>
          </cell>
          <cell r="M441" t="str">
            <v>Itaú BBA</v>
          </cell>
          <cell r="W441">
            <v>39</v>
          </cell>
          <cell r="X441">
            <v>44315</v>
          </cell>
          <cell r="AO441">
            <v>3978000000</v>
          </cell>
          <cell r="AP441">
            <v>0</v>
          </cell>
          <cell r="AQ441">
            <v>3978000000</v>
          </cell>
          <cell r="BL441">
            <v>2205</v>
          </cell>
          <cell r="DZ441">
            <v>3160</v>
          </cell>
          <cell r="ED441">
            <v>741306697.47679925</v>
          </cell>
          <cell r="EF441">
            <v>2.4875882352941177E-3</v>
          </cell>
          <cell r="EH441">
            <v>0.50064655882352938</v>
          </cell>
          <cell r="EJ441">
            <v>0.49685275490196079</v>
          </cell>
          <cell r="EL441">
            <v>1.3098039215686275E-5</v>
          </cell>
          <cell r="EQ441" t="str">
            <v>Tecidos, Vestuário e Calçados</v>
          </cell>
        </row>
        <row r="442">
          <cell r="A442" t="str">
            <v>INFRACOMM</v>
          </cell>
          <cell r="C442" t="str">
            <v>NM</v>
          </cell>
          <cell r="F442" t="str">
            <v>IPO</v>
          </cell>
          <cell r="G442" t="str">
            <v>ICVM 476</v>
          </cell>
          <cell r="J442">
            <v>44320</v>
          </cell>
          <cell r="M442" t="str">
            <v>Itaú BBA</v>
          </cell>
          <cell r="W442">
            <v>16</v>
          </cell>
          <cell r="X442">
            <v>44316</v>
          </cell>
          <cell r="AO442">
            <v>902388000</v>
          </cell>
          <cell r="AP442">
            <v>0</v>
          </cell>
          <cell r="AQ442">
            <v>902388000</v>
          </cell>
          <cell r="BL442">
            <v>1</v>
          </cell>
          <cell r="DZ442">
            <v>137</v>
          </cell>
          <cell r="ED442">
            <v>166997557.1840995</v>
          </cell>
          <cell r="EF442">
            <v>5.5408538234107726E-4</v>
          </cell>
          <cell r="EH442">
            <v>0.7127378998834204</v>
          </cell>
          <cell r="EJ442">
            <v>0.39543286479873402</v>
          </cell>
          <cell r="EL442">
            <v>0</v>
          </cell>
          <cell r="EQ442" t="str">
            <v>Programas e Serviços</v>
          </cell>
        </row>
        <row r="443">
          <cell r="A443" t="str">
            <v>PETRORECSA</v>
          </cell>
          <cell r="C443" t="str">
            <v>NM</v>
          </cell>
          <cell r="F443" t="str">
            <v>IPO</v>
          </cell>
          <cell r="G443" t="str">
            <v>ICVM 400</v>
          </cell>
          <cell r="J443">
            <v>44321</v>
          </cell>
          <cell r="M443" t="str">
            <v>Itaú BBA</v>
          </cell>
          <cell r="W443">
            <v>14.75</v>
          </cell>
          <cell r="X443">
            <v>44319</v>
          </cell>
          <cell r="AO443">
            <v>1187375000</v>
          </cell>
          <cell r="AP443">
            <v>0</v>
          </cell>
          <cell r="AQ443">
            <v>1187375000</v>
          </cell>
          <cell r="BL443">
            <v>2596</v>
          </cell>
          <cell r="DZ443">
            <v>2926</v>
          </cell>
          <cell r="ED443">
            <v>219530571.11690426</v>
          </cell>
          <cell r="EF443">
            <v>0.10086165217391305</v>
          </cell>
          <cell r="EH443">
            <v>0.78770052173913041</v>
          </cell>
          <cell r="EJ443">
            <v>0.10678592546583851</v>
          </cell>
          <cell r="EL443">
            <v>4.6519006211180125E-3</v>
          </cell>
          <cell r="EQ443" t="str">
            <v>Exploração. Refino e Distribuição</v>
          </cell>
        </row>
        <row r="444">
          <cell r="A444" t="str">
            <v>GETNINJAS</v>
          </cell>
          <cell r="C444" t="str">
            <v>NM</v>
          </cell>
          <cell r="F444" t="str">
            <v>IPO</v>
          </cell>
          <cell r="G444" t="str">
            <v>ICVM 400</v>
          </cell>
          <cell r="J444">
            <v>44333</v>
          </cell>
          <cell r="M444" t="str">
            <v>BTG Pactual</v>
          </cell>
          <cell r="W444">
            <v>20</v>
          </cell>
          <cell r="X444">
            <v>44334</v>
          </cell>
          <cell r="AO444">
            <v>321285160</v>
          </cell>
          <cell r="AP444">
            <v>160754620</v>
          </cell>
          <cell r="AQ444">
            <v>482039780</v>
          </cell>
          <cell r="BL444">
            <v>1205</v>
          </cell>
          <cell r="DZ444">
            <v>1343</v>
          </cell>
          <cell r="ED444">
            <v>91663455.541188106</v>
          </cell>
          <cell r="EF444">
            <v>7.3762630520079406E-2</v>
          </cell>
          <cell r="EH444">
            <v>0.79009904540801557</v>
          </cell>
          <cell r="EJ444">
            <v>0.13276912707942881</v>
          </cell>
          <cell r="EL444">
            <v>3.3691969924762115E-3</v>
          </cell>
          <cell r="EQ444" t="str">
            <v>Programas e Serviços</v>
          </cell>
        </row>
        <row r="445">
          <cell r="A445" t="str">
            <v>G2D INVEST</v>
          </cell>
          <cell r="C445" t="str">
            <v>BDR</v>
          </cell>
          <cell r="F445" t="str">
            <v>IPO</v>
          </cell>
          <cell r="G445" t="str">
            <v>ICVM 400</v>
          </cell>
          <cell r="J445">
            <v>44333</v>
          </cell>
          <cell r="M445" t="str">
            <v>BTG Pactual</v>
          </cell>
          <cell r="W445">
            <v>7.16</v>
          </cell>
          <cell r="X445">
            <v>44329</v>
          </cell>
          <cell r="AO445">
            <v>281062399</v>
          </cell>
          <cell r="AP445">
            <v>0</v>
          </cell>
          <cell r="AQ445">
            <v>281062399</v>
          </cell>
          <cell r="BL445">
            <v>5124</v>
          </cell>
          <cell r="DZ445">
            <v>5387</v>
          </cell>
          <cell r="ED445">
            <v>53216396.667613365</v>
          </cell>
          <cell r="EF445">
            <v>0.60057128657559644</v>
          </cell>
          <cell r="EH445">
            <v>1.8472871634348048E-2</v>
          </cell>
          <cell r="EJ445">
            <v>0.12862930278578835</v>
          </cell>
          <cell r="EL445">
            <v>0.25232653900426721</v>
          </cell>
          <cell r="EQ445" t="str">
            <v>Gestão de Recursos e Investimentos</v>
          </cell>
        </row>
        <row r="446">
          <cell r="A446" t="str">
            <v>REDE D OR</v>
          </cell>
          <cell r="C446" t="str">
            <v>NM</v>
          </cell>
          <cell r="F446" t="str">
            <v>FOLLOW-ON</v>
          </cell>
          <cell r="G446" t="str">
            <v>ICVM 476</v>
          </cell>
          <cell r="J446">
            <v>44344</v>
          </cell>
          <cell r="M446" t="str">
            <v>BofA Merrill Lynch</v>
          </cell>
          <cell r="W446">
            <v>71</v>
          </cell>
          <cell r="X446">
            <v>44342</v>
          </cell>
          <cell r="AO446">
            <v>1777840000</v>
          </cell>
          <cell r="AP446">
            <v>3111220000</v>
          </cell>
          <cell r="AQ446">
            <v>4889060000</v>
          </cell>
          <cell r="DZ446">
            <v>2362</v>
          </cell>
          <cell r="ED446">
            <v>935150437.06126499</v>
          </cell>
          <cell r="EF446">
            <v>3.8498402555910545E-5</v>
          </cell>
          <cell r="EH446">
            <v>0.49615312227708391</v>
          </cell>
          <cell r="EJ446">
            <v>0.47844478652338079</v>
          </cell>
          <cell r="EL446">
            <v>2.5363592796979379E-2</v>
          </cell>
          <cell r="EQ446" t="str">
            <v>Serv.Méd.Hospit..Análises e Diagnósticos</v>
          </cell>
        </row>
        <row r="447">
          <cell r="A447" t="str">
            <v>DOTZ</v>
          </cell>
          <cell r="C447" t="str">
            <v>NM</v>
          </cell>
          <cell r="F447" t="str">
            <v>IPO</v>
          </cell>
          <cell r="G447" t="str">
            <v>ICVM 476</v>
          </cell>
          <cell r="J447">
            <v>44347</v>
          </cell>
          <cell r="M447" t="str">
            <v>BTG Pactual</v>
          </cell>
          <cell r="W447">
            <v>13.2</v>
          </cell>
          <cell r="X447">
            <v>44343</v>
          </cell>
          <cell r="AO447">
            <v>390720000</v>
          </cell>
          <cell r="AP447">
            <v>0</v>
          </cell>
          <cell r="AQ447">
            <v>390720000</v>
          </cell>
          <cell r="DZ447">
            <v>24</v>
          </cell>
          <cell r="ED447">
            <v>74676044.493712023</v>
          </cell>
          <cell r="EF447">
            <v>0</v>
          </cell>
          <cell r="EH447">
            <v>0.45494425675675676</v>
          </cell>
          <cell r="EJ447">
            <v>0.51856418918918923</v>
          </cell>
          <cell r="EL447">
            <v>6.6163851351351347E-2</v>
          </cell>
          <cell r="EQ447" t="str">
            <v>Programas de Fidelização</v>
          </cell>
        </row>
        <row r="448">
          <cell r="A448" t="str">
            <v>ECORODOVIAS</v>
          </cell>
          <cell r="C448" t="str">
            <v>NM</v>
          </cell>
          <cell r="F448" t="str">
            <v>FOLLOW-ON</v>
          </cell>
          <cell r="G448" t="str">
            <v>ICVM 476</v>
          </cell>
          <cell r="J448">
            <v>44371</v>
          </cell>
          <cell r="M448" t="str">
            <v>BTG Pactual</v>
          </cell>
          <cell r="W448">
            <v>12.5</v>
          </cell>
          <cell r="X448">
            <v>44369</v>
          </cell>
          <cell r="AO448">
            <v>1720439300</v>
          </cell>
          <cell r="AP448">
            <v>250000000</v>
          </cell>
          <cell r="AQ448">
            <v>1970439300</v>
          </cell>
          <cell r="DZ448">
            <v>7</v>
          </cell>
          <cell r="ED448">
            <v>392689884.012914</v>
          </cell>
          <cell r="EF448">
            <v>0</v>
          </cell>
          <cell r="EH448">
            <v>0.12687526076037967</v>
          </cell>
          <cell r="EJ448">
            <v>0</v>
          </cell>
          <cell r="EL448">
            <v>0</v>
          </cell>
          <cell r="EQ448" t="str">
            <v>Exploração de Rodovias</v>
          </cell>
        </row>
        <row r="449">
          <cell r="A449" t="str">
            <v>BTGP BANCO</v>
          </cell>
          <cell r="C449" t="str">
            <v>N2</v>
          </cell>
          <cell r="F449" t="str">
            <v>FOLLOW-ON</v>
          </cell>
          <cell r="G449" t="str">
            <v>ICVM 476</v>
          </cell>
          <cell r="J449">
            <v>44357</v>
          </cell>
          <cell r="M449" t="str">
            <v>BTG Pactual, Bradesco BBI</v>
          </cell>
          <cell r="W449">
            <v>40.67</v>
          </cell>
          <cell r="X449">
            <v>44355</v>
          </cell>
          <cell r="AO449">
            <v>2977288020</v>
          </cell>
          <cell r="AP449">
            <v>0</v>
          </cell>
          <cell r="AQ449">
            <v>2977288020</v>
          </cell>
          <cell r="DZ449">
            <v>2059</v>
          </cell>
          <cell r="ED449">
            <v>589690431.57915592</v>
          </cell>
          <cell r="EF449">
            <v>0</v>
          </cell>
          <cell r="EH449">
            <v>0.5012667404311123</v>
          </cell>
          <cell r="EJ449">
            <v>0.20916318334562742</v>
          </cell>
          <cell r="EL449">
            <v>0.36788332923530864</v>
          </cell>
          <cell r="EQ449" t="str">
            <v>Bancos</v>
          </cell>
        </row>
        <row r="450">
          <cell r="A450" t="str">
            <v>BANCO INTER</v>
          </cell>
          <cell r="C450" t="str">
            <v>N2</v>
          </cell>
          <cell r="F450" t="str">
            <v>FOLLOW-ON</v>
          </cell>
          <cell r="G450" t="str">
            <v>ICVM 476</v>
          </cell>
          <cell r="J450">
            <v>44375</v>
          </cell>
          <cell r="M450" t="str">
            <v>Bradesco BBI</v>
          </cell>
          <cell r="W450">
            <v>19.28</v>
          </cell>
          <cell r="X450">
            <v>44371</v>
          </cell>
          <cell r="AO450">
            <v>5499999970.2400007</v>
          </cell>
          <cell r="AP450">
            <v>0</v>
          </cell>
          <cell r="AQ450">
            <v>5499999970.2400007</v>
          </cell>
          <cell r="BL450">
            <v>18015</v>
          </cell>
          <cell r="DZ450">
            <v>20757</v>
          </cell>
          <cell r="ED450">
            <v>1112909747.1145287</v>
          </cell>
          <cell r="EF450">
            <v>1.7718127295871175E-2</v>
          </cell>
          <cell r="EH450">
            <v>0.24556764015056232</v>
          </cell>
          <cell r="EJ450">
            <v>0.73662824725855569</v>
          </cell>
          <cell r="EL450">
            <v>8.5985295010713162E-5</v>
          </cell>
          <cell r="EQ450" t="str">
            <v>Bancos</v>
          </cell>
        </row>
        <row r="451">
          <cell r="A451" t="str">
            <v>BR PARTNERS</v>
          </cell>
          <cell r="C451" t="str">
            <v>N2</v>
          </cell>
          <cell r="F451" t="str">
            <v>IPO</v>
          </cell>
          <cell r="G451" t="str">
            <v>ICVM 476</v>
          </cell>
          <cell r="J451">
            <v>44368</v>
          </cell>
          <cell r="M451" t="str">
            <v>BTG Pactual</v>
          </cell>
          <cell r="W451">
            <v>16</v>
          </cell>
          <cell r="X451">
            <v>44364</v>
          </cell>
          <cell r="AO451">
            <v>1092000000</v>
          </cell>
          <cell r="AP451">
            <v>0</v>
          </cell>
          <cell r="AQ451">
            <v>1092000000</v>
          </cell>
          <cell r="DZ451">
            <v>84</v>
          </cell>
          <cell r="ED451">
            <v>216843066.78051591</v>
          </cell>
          <cell r="EF451">
            <v>0</v>
          </cell>
          <cell r="EH451">
            <v>0.34102564102564104</v>
          </cell>
          <cell r="EJ451">
            <v>2.564102564102564E-2</v>
          </cell>
          <cell r="EL451">
            <v>0</v>
          </cell>
          <cell r="EQ451" t="str">
            <v>Bancos</v>
          </cell>
        </row>
        <row r="452">
          <cell r="A452" t="str">
            <v>GRUPO SOMA</v>
          </cell>
          <cell r="C452" t="str">
            <v>NM</v>
          </cell>
          <cell r="F452" t="str">
            <v>FOLLOW-ON</v>
          </cell>
          <cell r="G452" t="str">
            <v>ICVM 476</v>
          </cell>
          <cell r="J452">
            <v>44399</v>
          </cell>
          <cell r="M452" t="str">
            <v>Itaú BBA</v>
          </cell>
          <cell r="W452">
            <v>19.2</v>
          </cell>
          <cell r="X452">
            <v>44397</v>
          </cell>
          <cell r="AO452">
            <v>883435584</v>
          </cell>
          <cell r="AP452">
            <v>0</v>
          </cell>
          <cell r="AQ452">
            <v>883435584</v>
          </cell>
          <cell r="BL452">
            <v>289</v>
          </cell>
          <cell r="DZ452">
            <v>599</v>
          </cell>
          <cell r="ED452">
            <v>168385701.70589918</v>
          </cell>
          <cell r="EF452">
            <v>2.4384582634153886E-3</v>
          </cell>
          <cell r="EH452">
            <v>0.90177480919763353</v>
          </cell>
          <cell r="EJ452">
            <v>9.576028307231961E-2</v>
          </cell>
          <cell r="EL452">
            <v>2.6449466631400709E-5</v>
          </cell>
          <cell r="EQ452" t="str">
            <v>Tecidos. Vestuário e Calçados</v>
          </cell>
        </row>
        <row r="453">
          <cell r="A453" t="str">
            <v>MAGAZ LUIZA</v>
          </cell>
          <cell r="C453" t="str">
            <v>NM</v>
          </cell>
          <cell r="F453" t="str">
            <v>FOLLOW-ON</v>
          </cell>
          <cell r="G453" t="str">
            <v>ICVM 476</v>
          </cell>
          <cell r="J453">
            <v>44403</v>
          </cell>
          <cell r="M453" t="str">
            <v>Itaú BBA</v>
          </cell>
          <cell r="W453">
            <v>22.75</v>
          </cell>
          <cell r="X453">
            <v>44399</v>
          </cell>
          <cell r="AO453">
            <v>3981250000</v>
          </cell>
          <cell r="AP453">
            <v>0</v>
          </cell>
          <cell r="AQ453">
            <v>3981250000</v>
          </cell>
          <cell r="BL453">
            <v>2827</v>
          </cell>
          <cell r="DZ453">
            <v>3979</v>
          </cell>
          <cell r="ED453">
            <v>765949055.36957943</v>
          </cell>
          <cell r="EF453">
            <v>1.28644E-3</v>
          </cell>
          <cell r="EH453">
            <v>0.31076097714285716</v>
          </cell>
          <cell r="EJ453">
            <v>0.68788002285714289</v>
          </cell>
          <cell r="EL453">
            <v>7.2559999999999996E-5</v>
          </cell>
          <cell r="EQ453" t="str">
            <v>Eletrodomésticos</v>
          </cell>
        </row>
        <row r="454">
          <cell r="A454" t="str">
            <v>MELIUZ</v>
          </cell>
          <cell r="C454" t="str">
            <v>NM</v>
          </cell>
          <cell r="F454" t="str">
            <v>FOLLOW-ON</v>
          </cell>
          <cell r="G454" t="str">
            <v>ICVM 476</v>
          </cell>
          <cell r="J454">
            <v>44396</v>
          </cell>
          <cell r="M454" t="str">
            <v>BTG Pactual</v>
          </cell>
          <cell r="W454">
            <v>57</v>
          </cell>
          <cell r="X454">
            <v>44392</v>
          </cell>
          <cell r="AO454">
            <v>427500000</v>
          </cell>
          <cell r="AP454">
            <v>727660119</v>
          </cell>
          <cell r="AQ454">
            <v>1155160119</v>
          </cell>
          <cell r="BL454">
            <v>1</v>
          </cell>
          <cell r="DZ454">
            <v>1499</v>
          </cell>
          <cell r="ED454">
            <v>226501984.11764708</v>
          </cell>
          <cell r="EF454">
            <v>9.5085519481996595E-4</v>
          </cell>
          <cell r="EH454">
            <v>0.54758813137315387</v>
          </cell>
          <cell r="EJ454">
            <v>0.20196258091212721</v>
          </cell>
          <cell r="EL454">
            <v>0.11303048110164197</v>
          </cell>
          <cell r="EQ454" t="str">
            <v>Programas e Serviços</v>
          </cell>
        </row>
        <row r="455">
          <cell r="A455" t="str">
            <v>3TENTOS</v>
          </cell>
          <cell r="C455" t="str">
            <v>NM</v>
          </cell>
          <cell r="F455" t="str">
            <v>IPO</v>
          </cell>
          <cell r="G455" t="str">
            <v>ICVM 476</v>
          </cell>
          <cell r="J455">
            <v>44389</v>
          </cell>
          <cell r="M455" t="str">
            <v>BTG Pactual</v>
          </cell>
          <cell r="W455">
            <v>12.25</v>
          </cell>
          <cell r="X455">
            <v>44384</v>
          </cell>
          <cell r="AO455">
            <v>1152941175.75</v>
          </cell>
          <cell r="AP455">
            <v>192156868.75</v>
          </cell>
          <cell r="AQ455">
            <v>1345098044.5</v>
          </cell>
          <cell r="BL455">
            <v>20</v>
          </cell>
          <cell r="DZ455">
            <v>81</v>
          </cell>
          <cell r="ED455">
            <v>257051300.35545024</v>
          </cell>
          <cell r="EF455">
            <v>6.211089618456434E-3</v>
          </cell>
          <cell r="EH455">
            <v>0.98500678327318769</v>
          </cell>
          <cell r="EJ455">
            <v>0.1586129409840206</v>
          </cell>
          <cell r="EL455">
            <v>1.6918339219249381E-4</v>
          </cell>
          <cell r="EQ455" t="str">
            <v>Agricultura</v>
          </cell>
        </row>
        <row r="456">
          <cell r="A456" t="str">
            <v>WDC NETWORKS</v>
          </cell>
          <cell r="C456" t="str">
            <v>NM</v>
          </cell>
          <cell r="F456" t="str">
            <v>IPO</v>
          </cell>
          <cell r="G456" t="str">
            <v>ICVM 476</v>
          </cell>
          <cell r="J456">
            <v>44400</v>
          </cell>
          <cell r="M456" t="str">
            <v>BTG Pactual</v>
          </cell>
          <cell r="W456">
            <v>23.2</v>
          </cell>
          <cell r="X456">
            <v>44399</v>
          </cell>
          <cell r="AO456">
            <v>450080000</v>
          </cell>
          <cell r="AP456">
            <v>0</v>
          </cell>
          <cell r="AQ456">
            <v>450080000</v>
          </cell>
          <cell r="DZ456">
            <v>35</v>
          </cell>
          <cell r="ED456">
            <v>86590480.587941051</v>
          </cell>
          <cell r="EF456">
            <v>0</v>
          </cell>
          <cell r="EH456">
            <v>0.9503061855670103</v>
          </cell>
          <cell r="EJ456">
            <v>5.6765979381443302E-2</v>
          </cell>
          <cell r="EL456">
            <v>0</v>
          </cell>
          <cell r="EQ456" t="str">
            <v>Programas e Serviços</v>
          </cell>
        </row>
        <row r="457">
          <cell r="A457" t="str">
            <v>SMART FIT</v>
          </cell>
          <cell r="C457" t="str">
            <v>NM</v>
          </cell>
          <cell r="F457" t="str">
            <v>IPO</v>
          </cell>
          <cell r="G457" t="str">
            <v>ICVM 400</v>
          </cell>
          <cell r="J457">
            <v>44391</v>
          </cell>
          <cell r="M457" t="str">
            <v>Itaú BBA</v>
          </cell>
          <cell r="W457">
            <v>23</v>
          </cell>
          <cell r="X457">
            <v>44389</v>
          </cell>
          <cell r="AO457">
            <v>2645000000</v>
          </cell>
          <cell r="AP457">
            <v>0</v>
          </cell>
          <cell r="AQ457">
            <v>2645000000</v>
          </cell>
          <cell r="BL457">
            <v>16164</v>
          </cell>
          <cell r="DZ457">
            <v>17305</v>
          </cell>
          <cell r="ED457">
            <v>506326690.78657705</v>
          </cell>
          <cell r="EF457">
            <v>9.4812504347826093E-2</v>
          </cell>
          <cell r="EH457">
            <v>0.40513107826086958</v>
          </cell>
          <cell r="EJ457">
            <v>0.30761015652173912</v>
          </cell>
          <cell r="EL457">
            <v>0.19244626086956521</v>
          </cell>
          <cell r="EQ457" t="str">
            <v>Atividades Esportivas</v>
          </cell>
        </row>
        <row r="458">
          <cell r="A458" t="str">
            <v>MULTILASER</v>
          </cell>
          <cell r="C458" t="str">
            <v>NM</v>
          </cell>
          <cell r="F458" t="str">
            <v>IPO</v>
          </cell>
          <cell r="G458" t="str">
            <v>ICVM 400</v>
          </cell>
          <cell r="J458">
            <v>44399</v>
          </cell>
          <cell r="M458" t="str">
            <v>Itáu BBA</v>
          </cell>
          <cell r="W458">
            <v>11.1</v>
          </cell>
          <cell r="X458">
            <v>44397</v>
          </cell>
          <cell r="AO458">
            <v>1912676941.8</v>
          </cell>
          <cell r="AP458">
            <v>0</v>
          </cell>
          <cell r="AQ458">
            <v>1912676941.8</v>
          </cell>
          <cell r="BL458">
            <v>18708</v>
          </cell>
          <cell r="DZ458">
            <v>19331</v>
          </cell>
          <cell r="ED458">
            <v>365558836.01544285</v>
          </cell>
          <cell r="EF458">
            <v>0.12056232731231015</v>
          </cell>
          <cell r="EH458">
            <v>0.74760222427019796</v>
          </cell>
          <cell r="EJ458">
            <v>0.27520215829267858</v>
          </cell>
          <cell r="EL458">
            <v>6.6332860624440234E-3</v>
          </cell>
          <cell r="EQ458" t="str">
            <v>Computadores e Equipamentos</v>
          </cell>
        </row>
        <row r="459">
          <cell r="A459" t="str">
            <v>DESKTOP</v>
          </cell>
          <cell r="C459" t="str">
            <v>NM</v>
          </cell>
          <cell r="F459" t="str">
            <v>IPO</v>
          </cell>
          <cell r="G459" t="str">
            <v>ICVM 400</v>
          </cell>
          <cell r="J459">
            <v>44398</v>
          </cell>
          <cell r="M459" t="str">
            <v>Itaú BBA</v>
          </cell>
          <cell r="W459">
            <v>23.5</v>
          </cell>
          <cell r="X459">
            <v>44396</v>
          </cell>
          <cell r="AO459">
            <v>715222500</v>
          </cell>
          <cell r="AP459">
            <v>0</v>
          </cell>
          <cell r="AQ459">
            <v>715222500</v>
          </cell>
          <cell r="BL459">
            <v>8393</v>
          </cell>
          <cell r="DZ459">
            <v>8845</v>
          </cell>
          <cell r="ED459">
            <v>136191351.20725113</v>
          </cell>
          <cell r="EF459">
            <v>0.13538975057741184</v>
          </cell>
          <cell r="EH459">
            <v>1.0877674117453784</v>
          </cell>
          <cell r="EJ459">
            <v>0.12584238347877347</v>
          </cell>
          <cell r="EL459">
            <v>3.9416306690246332E-3</v>
          </cell>
          <cell r="EQ459" t="str">
            <v>Computadores e Equipamentos</v>
          </cell>
        </row>
        <row r="460">
          <cell r="A460" t="str">
            <v>CBA</v>
          </cell>
          <cell r="C460" t="str">
            <v>NM</v>
          </cell>
          <cell r="F460" t="str">
            <v>IPO</v>
          </cell>
          <cell r="G460" t="str">
            <v>ICVM 400</v>
          </cell>
          <cell r="J460">
            <v>44392</v>
          </cell>
          <cell r="M460" t="str">
            <v>BofA Merrill Lynch</v>
          </cell>
          <cell r="W460">
            <v>11.2</v>
          </cell>
          <cell r="X460">
            <v>44390</v>
          </cell>
          <cell r="AO460">
            <v>700000000</v>
          </cell>
          <cell r="AP460">
            <v>910000000</v>
          </cell>
          <cell r="AQ460">
            <v>1610000000</v>
          </cell>
          <cell r="BL460">
            <v>7782</v>
          </cell>
          <cell r="DZ460">
            <v>8191</v>
          </cell>
          <cell r="ED460">
            <v>315686274.50980395</v>
          </cell>
          <cell r="EF460">
            <v>0.1055669008695652</v>
          </cell>
          <cell r="EH460">
            <v>0.57626807652173906</v>
          </cell>
          <cell r="EJ460">
            <v>0.28857176347826086</v>
          </cell>
          <cell r="EL460">
            <v>0.16002804173913043</v>
          </cell>
          <cell r="EQ460" t="str">
            <v>Minerais Metálicos</v>
          </cell>
        </row>
        <row r="461">
          <cell r="A461" t="str">
            <v>PETROBRAS BR</v>
          </cell>
          <cell r="C461" t="str">
            <v>NM</v>
          </cell>
          <cell r="F461" t="str">
            <v>FOLLOW-ON</v>
          </cell>
          <cell r="G461" t="str">
            <v>ICVM 400</v>
          </cell>
          <cell r="J461">
            <v>44379</v>
          </cell>
          <cell r="M461" t="str">
            <v>Morgan Stanley</v>
          </cell>
          <cell r="W461">
            <v>26</v>
          </cell>
          <cell r="X461">
            <v>44378</v>
          </cell>
          <cell r="AO461">
            <v>0</v>
          </cell>
          <cell r="AP461">
            <v>11358750000</v>
          </cell>
          <cell r="AQ461">
            <v>11358750000</v>
          </cell>
          <cell r="BL461">
            <v>4859</v>
          </cell>
          <cell r="DZ461">
            <v>5795</v>
          </cell>
          <cell r="ED461">
            <v>2258515101.5051794</v>
          </cell>
          <cell r="EF461">
            <v>6.189990042918455E-2</v>
          </cell>
          <cell r="EH461">
            <v>0.59253524234620891</v>
          </cell>
          <cell r="EJ461">
            <v>0.34119225865522174</v>
          </cell>
          <cell r="EL461">
            <v>4.3725985693848354E-3</v>
          </cell>
          <cell r="EQ461" t="str">
            <v>Exploração. Refino e Distribuição</v>
          </cell>
        </row>
        <row r="462">
          <cell r="A462" t="str">
            <v>AGROGALAXY</v>
          </cell>
          <cell r="C462" t="str">
            <v>NM</v>
          </cell>
          <cell r="F462" t="str">
            <v>IPO</v>
          </cell>
          <cell r="G462" t="str">
            <v>ICVM 476</v>
          </cell>
          <cell r="J462">
            <v>44403</v>
          </cell>
          <cell r="M462" t="str">
            <v>Itaú BBA</v>
          </cell>
          <cell r="W462">
            <v>13.75</v>
          </cell>
          <cell r="X462">
            <v>44399</v>
          </cell>
          <cell r="AO462">
            <v>349999993.75</v>
          </cell>
          <cell r="AP462">
            <v>0</v>
          </cell>
          <cell r="AQ462">
            <v>349999993.75</v>
          </cell>
          <cell r="DZ462">
            <v>120</v>
          </cell>
          <cell r="ED462">
            <v>67485489.414418757</v>
          </cell>
          <cell r="EF462">
            <v>0</v>
          </cell>
          <cell r="EH462">
            <v>0</v>
          </cell>
          <cell r="EJ462">
            <v>0</v>
          </cell>
          <cell r="EL462">
            <v>0</v>
          </cell>
          <cell r="EQ462" t="str">
            <v>Agricultura</v>
          </cell>
        </row>
        <row r="463">
          <cell r="A463" t="str">
            <v>UNIFIQUE</v>
          </cell>
          <cell r="C463" t="str">
            <v>NM</v>
          </cell>
          <cell r="F463" t="str">
            <v>IPO</v>
          </cell>
          <cell r="G463" t="str">
            <v>ICVM 400</v>
          </cell>
          <cell r="J463">
            <v>44404</v>
          </cell>
          <cell r="M463" t="str">
            <v>XP Investimentos</v>
          </cell>
          <cell r="W463">
            <v>8.6</v>
          </cell>
          <cell r="X463">
            <v>44400</v>
          </cell>
          <cell r="AO463">
            <v>863420899.39999998</v>
          </cell>
          <cell r="AP463">
            <v>0</v>
          </cell>
          <cell r="AQ463">
            <v>863420899.39999998</v>
          </cell>
          <cell r="BL463">
            <v>9372</v>
          </cell>
          <cell r="DZ463">
            <v>9957</v>
          </cell>
          <cell r="ED463">
            <v>167106175.7339991</v>
          </cell>
          <cell r="EF463">
            <v>0.13741440893893783</v>
          </cell>
          <cell r="EH463">
            <v>0.57668200068671305</v>
          </cell>
          <cell r="EJ463">
            <v>0.26737908447076225</v>
          </cell>
          <cell r="EL463">
            <v>1.7299031783209139E-2</v>
          </cell>
          <cell r="EQ463" t="str">
            <v>Telecomunicações</v>
          </cell>
        </row>
        <row r="464">
          <cell r="A464" t="str">
            <v>ARMAC</v>
          </cell>
          <cell r="C464" t="str">
            <v>NM</v>
          </cell>
          <cell r="F464" t="str">
            <v>IPO</v>
          </cell>
          <cell r="G464" t="str">
            <v>ICVM 400</v>
          </cell>
          <cell r="J464">
            <v>44405</v>
          </cell>
          <cell r="M464" t="str">
            <v>Santander</v>
          </cell>
          <cell r="W464">
            <v>16.63</v>
          </cell>
          <cell r="X464">
            <v>44403</v>
          </cell>
          <cell r="AO464">
            <v>1000300752.8799999</v>
          </cell>
          <cell r="AP464">
            <v>532483071.00999999</v>
          </cell>
          <cell r="AQ464">
            <v>1532783823.8899999</v>
          </cell>
          <cell r="BL464">
            <v>8076</v>
          </cell>
          <cell r="DZ464">
            <v>8716</v>
          </cell>
          <cell r="ED464">
            <v>297471970.79007119</v>
          </cell>
          <cell r="EF464">
            <v>0.1085082388643057</v>
          </cell>
          <cell r="EH464">
            <v>0.60516811563544293</v>
          </cell>
          <cell r="EJ464">
            <v>0.28248616306579283</v>
          </cell>
          <cell r="EL464">
            <v>3.8374824344584967E-3</v>
          </cell>
          <cell r="EQ464" t="str">
            <v>Máq. e Equip. Industriais</v>
          </cell>
        </row>
        <row r="465">
          <cell r="A465" t="str">
            <v>TC</v>
          </cell>
          <cell r="C465" t="str">
            <v>NM</v>
          </cell>
          <cell r="F465" t="str">
            <v>IPO</v>
          </cell>
          <cell r="G465" t="str">
            <v>ICVM 400</v>
          </cell>
          <cell r="J465">
            <v>44405</v>
          </cell>
          <cell r="M465" t="str">
            <v>BTG Pactual</v>
          </cell>
          <cell r="W465">
            <v>9.5</v>
          </cell>
          <cell r="X465">
            <v>44403</v>
          </cell>
          <cell r="AO465">
            <v>544930345.5</v>
          </cell>
          <cell r="AP465">
            <v>0</v>
          </cell>
          <cell r="AQ465">
            <v>544930345.5</v>
          </cell>
          <cell r="BL465">
            <v>3762</v>
          </cell>
          <cell r="DZ465">
            <v>4230</v>
          </cell>
          <cell r="ED465">
            <v>105756272.53672831</v>
          </cell>
          <cell r="EF465">
            <v>0.10257094938683313</v>
          </cell>
          <cell r="EH465">
            <v>0.69925371530564573</v>
          </cell>
          <cell r="EJ465">
            <v>2.3509721698243963E-2</v>
          </cell>
          <cell r="EL465">
            <v>0.17466561360927718</v>
          </cell>
          <cell r="EQ465" t="str">
            <v>Programas e Serviços</v>
          </cell>
        </row>
        <row r="466">
          <cell r="A466" t="str">
            <v>BRISANET</v>
          </cell>
          <cell r="C466" t="str">
            <v>NM</v>
          </cell>
          <cell r="F466" t="str">
            <v>IPO</v>
          </cell>
          <cell r="G466" t="str">
            <v>ICVM 400</v>
          </cell>
          <cell r="J466">
            <v>44406</v>
          </cell>
          <cell r="M466" t="str">
            <v>Santander</v>
          </cell>
          <cell r="W466">
            <v>13.92</v>
          </cell>
          <cell r="X466">
            <v>44404</v>
          </cell>
          <cell r="AO466">
            <v>1340059997.76</v>
          </cell>
          <cell r="AP466">
            <v>0</v>
          </cell>
          <cell r="AQ466">
            <v>1340059997.76</v>
          </cell>
          <cell r="BL466">
            <v>5965</v>
          </cell>
          <cell r="DZ466">
            <v>6183</v>
          </cell>
          <cell r="ED466">
            <v>264405508.41718954</v>
          </cell>
          <cell r="EF466">
            <v>0.1450352158086114</v>
          </cell>
          <cell r="EH466">
            <v>0.77910457999665683</v>
          </cell>
          <cell r="EJ466">
            <v>7.3797487753256605E-2</v>
          </cell>
          <cell r="EL466">
            <v>2.0627164414751199E-3</v>
          </cell>
          <cell r="EQ466" t="str">
            <v>Telecomunicações</v>
          </cell>
        </row>
        <row r="467">
          <cell r="A467" t="str">
            <v>CLEARSALE</v>
          </cell>
          <cell r="C467" t="str">
            <v>NM</v>
          </cell>
          <cell r="F467" t="str">
            <v>IPO</v>
          </cell>
          <cell r="G467" t="str">
            <v>ICVM 400</v>
          </cell>
          <cell r="J467">
            <v>44407</v>
          </cell>
          <cell r="M467" t="str">
            <v>Itaú BBA</v>
          </cell>
          <cell r="W467">
            <v>25</v>
          </cell>
          <cell r="X467">
            <v>44405</v>
          </cell>
          <cell r="AO467">
            <v>795156250</v>
          </cell>
          <cell r="AP467">
            <v>509967250</v>
          </cell>
          <cell r="AQ467">
            <v>1305123500</v>
          </cell>
          <cell r="BL467">
            <v>7444</v>
          </cell>
          <cell r="DZ467">
            <v>8026</v>
          </cell>
          <cell r="ED467">
            <v>254827300.06248048</v>
          </cell>
          <cell r="EF467">
            <v>9.6234015401607587E-2</v>
          </cell>
          <cell r="EH467">
            <v>0.505568266144928</v>
          </cell>
          <cell r="EJ467">
            <v>0.39317903631342166</v>
          </cell>
          <cell r="EL467">
            <v>6.5138280017178448E-3</v>
          </cell>
          <cell r="EQ467" t="str">
            <v>Serviços Financeiros Diversos</v>
          </cell>
        </row>
        <row r="468">
          <cell r="A468" t="str">
            <v>VIVEO</v>
          </cell>
          <cell r="C468" t="str">
            <v>NM</v>
          </cell>
          <cell r="F468" t="str">
            <v>IPO</v>
          </cell>
          <cell r="G468" t="str">
            <v>ICVM 476</v>
          </cell>
          <cell r="J468">
            <v>44417</v>
          </cell>
          <cell r="M468" t="str">
            <v>JP Morgan</v>
          </cell>
          <cell r="W468">
            <v>19.920000000000002</v>
          </cell>
          <cell r="X468">
            <v>44413</v>
          </cell>
          <cell r="AO468">
            <v>699999995.04000008</v>
          </cell>
          <cell r="AP468">
            <v>1176980291.5200002</v>
          </cell>
          <cell r="AQ468">
            <v>1876980286.5600004</v>
          </cell>
          <cell r="BL468">
            <v>1</v>
          </cell>
          <cell r="DZ468">
            <v>215</v>
          </cell>
          <cell r="ED468">
            <v>355663828.12748712</v>
          </cell>
          <cell r="EF468">
            <v>6.8685985102315473E-5</v>
          </cell>
          <cell r="EH468">
            <v>0.38145919682098506</v>
          </cell>
          <cell r="EJ468">
            <v>0.61146401354243107</v>
          </cell>
          <cell r="EQ468" t="str">
            <v>Medicamentos e Outros Produtos</v>
          </cell>
        </row>
        <row r="469">
          <cell r="A469" t="str">
            <v>RAIZEN</v>
          </cell>
          <cell r="C469" t="str">
            <v>N2</v>
          </cell>
          <cell r="F469" t="str">
            <v>IPO</v>
          </cell>
          <cell r="G469" t="str">
            <v>ICVM 400</v>
          </cell>
          <cell r="J469">
            <v>44413</v>
          </cell>
          <cell r="M469" t="str">
            <v>BTG Pactual</v>
          </cell>
          <cell r="W469">
            <v>7.4</v>
          </cell>
          <cell r="X469">
            <v>44411</v>
          </cell>
          <cell r="AO469">
            <v>6709671390</v>
          </cell>
          <cell r="AP469">
            <v>0</v>
          </cell>
          <cell r="AQ469">
            <v>6709671390</v>
          </cell>
          <cell r="BL469">
            <v>82316</v>
          </cell>
          <cell r="DZ469">
            <v>85700</v>
          </cell>
          <cell r="ED469">
            <v>1288067303.3729434</v>
          </cell>
          <cell r="EF469">
            <v>0.14761923778803718</v>
          </cell>
          <cell r="EH469">
            <v>0.36980073890026977</v>
          </cell>
          <cell r="EJ469">
            <v>0.49911008601570284</v>
          </cell>
          <cell r="EL469">
            <v>1.1836485959411495E-2</v>
          </cell>
          <cell r="EQ469" t="str">
            <v>Exploração, Refino e Distribuição</v>
          </cell>
        </row>
        <row r="470">
          <cell r="A470" t="str">
            <v>ONCOCLINICAS</v>
          </cell>
          <cell r="C470" t="str">
            <v>NM</v>
          </cell>
          <cell r="F470" t="str">
            <v>IPO</v>
          </cell>
          <cell r="G470" t="str">
            <v>ICVM 400</v>
          </cell>
          <cell r="J470">
            <v>44418</v>
          </cell>
          <cell r="M470" t="str">
            <v>Goldman Sachs</v>
          </cell>
          <cell r="W470">
            <v>19.75</v>
          </cell>
          <cell r="X470">
            <v>44414</v>
          </cell>
          <cell r="AO470">
            <v>1780423533.25</v>
          </cell>
          <cell r="AP470">
            <v>889239089</v>
          </cell>
          <cell r="AQ470">
            <v>2669662622.25</v>
          </cell>
          <cell r="BL470">
            <v>6528</v>
          </cell>
          <cell r="DZ470">
            <v>6914</v>
          </cell>
          <cell r="ED470">
            <v>511263117.80646145</v>
          </cell>
          <cell r="EF470">
            <v>0.11072559344306214</v>
          </cell>
          <cell r="EH470">
            <v>0.6638166949944565</v>
          </cell>
          <cell r="EJ470">
            <v>0.3556375446483423</v>
          </cell>
          <cell r="EL470">
            <v>1.5844453866414868E-2</v>
          </cell>
          <cell r="EQ470" t="str">
            <v>Serv.Méd.Hospit..Análises e Diagnósticos</v>
          </cell>
        </row>
        <row r="471">
          <cell r="A471" t="str">
            <v>KORA SAUDE</v>
          </cell>
          <cell r="C471" t="str">
            <v>NM</v>
          </cell>
          <cell r="F471" t="str">
            <v>IPO</v>
          </cell>
          <cell r="G471" t="str">
            <v>ICVM 476</v>
          </cell>
          <cell r="J471">
            <v>44421</v>
          </cell>
          <cell r="M471" t="str">
            <v>Itaú BBA</v>
          </cell>
          <cell r="W471">
            <v>7.2</v>
          </cell>
          <cell r="X471">
            <v>44419</v>
          </cell>
          <cell r="AO471">
            <v>769920796.80000007</v>
          </cell>
          <cell r="AP471">
            <v>0</v>
          </cell>
          <cell r="AQ471">
            <v>769920796.80000007</v>
          </cell>
          <cell r="BL471">
            <v>19</v>
          </cell>
          <cell r="DZ471">
            <v>80</v>
          </cell>
          <cell r="ED471">
            <v>146724243.77787095</v>
          </cell>
          <cell r="EF471">
            <v>1.6061111807078804E-3</v>
          </cell>
          <cell r="EH471">
            <v>0.79753485728936213</v>
          </cell>
          <cell r="EJ471">
            <v>0.27233651054949654</v>
          </cell>
          <cell r="EL471">
            <v>6.4900182210534618E-2</v>
          </cell>
          <cell r="EQ471" t="str">
            <v>Serv.Méd.Hospit..Análises e Diagnósticos</v>
          </cell>
        </row>
        <row r="472">
          <cell r="A472" t="str">
            <v>VITTIA</v>
          </cell>
          <cell r="C472" t="str">
            <v>NM</v>
          </cell>
          <cell r="F472" t="str">
            <v>IPO</v>
          </cell>
          <cell r="G472" t="str">
            <v>ICVM 476</v>
          </cell>
          <cell r="J472">
            <v>44441</v>
          </cell>
          <cell r="M472" t="str">
            <v>XP Investimentos</v>
          </cell>
          <cell r="W472">
            <v>8.6</v>
          </cell>
          <cell r="X472">
            <v>44439</v>
          </cell>
          <cell r="AO472">
            <v>71611907.599999994</v>
          </cell>
          <cell r="AP472">
            <v>310388095.39999998</v>
          </cell>
          <cell r="AQ472">
            <v>382000003</v>
          </cell>
          <cell r="BL472">
            <v>2</v>
          </cell>
          <cell r="DZ472">
            <v>267</v>
          </cell>
          <cell r="ED472">
            <v>73837827.969459757</v>
          </cell>
          <cell r="EF472">
            <v>5.0955449861606415E-3</v>
          </cell>
          <cell r="EH472">
            <v>1.0072587376393292</v>
          </cell>
          <cell r="EJ472">
            <v>0.11636587866728368</v>
          </cell>
          <cell r="EL472">
            <v>5.0955449861606415E-3</v>
          </cell>
          <cell r="EQ472" t="str">
            <v>Fertilizantes e Defensivos</v>
          </cell>
        </row>
        <row r="473">
          <cell r="A473" t="str">
            <v>SINQIA</v>
          </cell>
          <cell r="C473" t="str">
            <v>NM</v>
          </cell>
          <cell r="F473" t="str">
            <v>FOLLOW-ON</v>
          </cell>
          <cell r="G473" t="str">
            <v>ICVM 476</v>
          </cell>
          <cell r="J473">
            <v>44445</v>
          </cell>
          <cell r="M473" t="str">
            <v>BTG Pactual</v>
          </cell>
          <cell r="W473">
            <v>23</v>
          </cell>
          <cell r="X473">
            <v>44441</v>
          </cell>
          <cell r="AO473">
            <v>400042680</v>
          </cell>
          <cell r="AP473">
            <v>0</v>
          </cell>
          <cell r="AQ473">
            <v>400042680</v>
          </cell>
          <cell r="BL473">
            <v>1</v>
          </cell>
          <cell r="DZ473">
            <v>1844</v>
          </cell>
          <cell r="ED473">
            <v>77268591.737005785</v>
          </cell>
          <cell r="EF473">
            <v>3.5071257896782414E-4</v>
          </cell>
          <cell r="EH473">
            <v>0.54959679552191776</v>
          </cell>
          <cell r="EJ473">
            <v>0.19200427064432224</v>
          </cell>
          <cell r="EL473">
            <v>0.25649588688886898</v>
          </cell>
          <cell r="EQ473" t="str">
            <v>Programas e Serviços</v>
          </cell>
        </row>
        <row r="474">
          <cell r="A474" t="str">
            <v>AES BRASIL</v>
          </cell>
          <cell r="C474" t="str">
            <v>NM</v>
          </cell>
          <cell r="F474" t="str">
            <v>FOLLOW-ON</v>
          </cell>
          <cell r="G474" t="str">
            <v>ICVM 476</v>
          </cell>
          <cell r="J474">
            <v>44469</v>
          </cell>
          <cell r="M474" t="str">
            <v>Bradesco BBI</v>
          </cell>
          <cell r="W474">
            <v>12</v>
          </cell>
          <cell r="X474">
            <v>44467</v>
          </cell>
          <cell r="AO474">
            <v>1116000000</v>
          </cell>
          <cell r="AP474">
            <v>0</v>
          </cell>
          <cell r="AQ474">
            <v>1116000000</v>
          </cell>
          <cell r="BL474">
            <v>2998</v>
          </cell>
          <cell r="DZ474">
            <v>3385</v>
          </cell>
          <cell r="ED474">
            <v>208683944.79973072</v>
          </cell>
          <cell r="EF474">
            <v>1.1760795698924732E-2</v>
          </cell>
          <cell r="EH474">
            <v>0.2841796451612903</v>
          </cell>
          <cell r="EJ474">
            <v>0.19180716129032258</v>
          </cell>
          <cell r="EL474">
            <v>0.51225239784946242</v>
          </cell>
          <cell r="EQ474" t="str">
            <v>Energia Elétrica</v>
          </cell>
        </row>
        <row r="475">
          <cell r="A475" t="str">
            <v>TOTVS</v>
          </cell>
          <cell r="C475" t="str">
            <v>NM</v>
          </cell>
          <cell r="F475" t="str">
            <v>FOLLOW-ON</v>
          </cell>
          <cell r="G475" t="str">
            <v>ICVM 476</v>
          </cell>
          <cell r="J475">
            <v>44462</v>
          </cell>
          <cell r="M475" t="str">
            <v>BTG Pactual</v>
          </cell>
          <cell r="W475">
            <v>36.75</v>
          </cell>
          <cell r="X475">
            <v>44460</v>
          </cell>
          <cell r="AO475">
            <v>1443172500</v>
          </cell>
          <cell r="AP475">
            <v>0</v>
          </cell>
          <cell r="AQ475">
            <v>1443172500</v>
          </cell>
          <cell r="DZ475">
            <v>990</v>
          </cell>
          <cell r="ED475">
            <v>272857858.61488718</v>
          </cell>
          <cell r="EF475">
            <v>0</v>
          </cell>
          <cell r="EH475">
            <v>0.17988482302011713</v>
          </cell>
          <cell r="EJ475">
            <v>0.41643386809269162</v>
          </cell>
          <cell r="EL475">
            <v>0.40368130888719123</v>
          </cell>
          <cell r="EQ475" t="str">
            <v>Programas e Serviços</v>
          </cell>
        </row>
        <row r="476">
          <cell r="A476" t="str">
            <v>VAMOS</v>
          </cell>
          <cell r="C476" t="str">
            <v>NM</v>
          </cell>
          <cell r="F476" t="str">
            <v>FOLLOW-ON</v>
          </cell>
          <cell r="G476" t="str">
            <v>ICVM 476</v>
          </cell>
          <cell r="J476">
            <v>44466</v>
          </cell>
          <cell r="M476" t="str">
            <v>BTG Pactual</v>
          </cell>
          <cell r="W476">
            <v>16.75</v>
          </cell>
          <cell r="X476">
            <v>44462</v>
          </cell>
          <cell r="AO476">
            <v>1098532167.5</v>
          </cell>
          <cell r="AP476">
            <v>0</v>
          </cell>
          <cell r="AQ476">
            <v>1098532167.5</v>
          </cell>
          <cell r="DZ476">
            <v>456</v>
          </cell>
          <cell r="ED476">
            <v>205417586.20367253</v>
          </cell>
          <cell r="EF476">
            <v>5.031714285235075E-5</v>
          </cell>
          <cell r="EH476">
            <v>0.55581297941373209</v>
          </cell>
          <cell r="EJ476">
            <v>0.35680441009935199</v>
          </cell>
          <cell r="EL476">
            <v>8.7332293344063588E-2</v>
          </cell>
          <cell r="EQ476" t="str">
            <v>Aluguel de carros</v>
          </cell>
        </row>
        <row r="477">
          <cell r="A477" t="str">
            <v>PETZ</v>
          </cell>
          <cell r="C477" t="str">
            <v>NM</v>
          </cell>
          <cell r="F477" t="str">
            <v>FOLLOW-ON</v>
          </cell>
          <cell r="G477" t="str">
            <v>ICVM 476</v>
          </cell>
          <cell r="J477">
            <v>44522</v>
          </cell>
          <cell r="M477" t="str">
            <v>Itaú BBA</v>
          </cell>
          <cell r="W477">
            <v>19</v>
          </cell>
          <cell r="X477">
            <v>44518</v>
          </cell>
          <cell r="AO477">
            <v>779000000</v>
          </cell>
          <cell r="AP477">
            <v>0</v>
          </cell>
          <cell r="AQ477">
            <v>779000000</v>
          </cell>
          <cell r="BL477">
            <v>647</v>
          </cell>
          <cell r="DZ477">
            <v>1098</v>
          </cell>
          <cell r="ED477">
            <v>139503232.39197004</v>
          </cell>
          <cell r="EF477">
            <v>1.8844146341463414E-3</v>
          </cell>
          <cell r="EH477">
            <v>0.61019204878048783</v>
          </cell>
          <cell r="EJ477">
            <v>0.38791826829268294</v>
          </cell>
          <cell r="EL477">
            <v>5.2682926829268289E-6</v>
          </cell>
          <cell r="EQ477" t="str">
            <v>Produtos Diversos</v>
          </cell>
        </row>
        <row r="478">
          <cell r="A478" t="str">
            <v>3R PETROLEUM</v>
          </cell>
          <cell r="C478" t="str">
            <v>NM</v>
          </cell>
          <cell r="F478" t="str">
            <v>FOLLOW-ON</v>
          </cell>
          <cell r="G478" t="str">
            <v>ICVM 476</v>
          </cell>
          <cell r="J478">
            <v>44508</v>
          </cell>
          <cell r="M478" t="str">
            <v>Itaú BBA</v>
          </cell>
          <cell r="W478">
            <v>33</v>
          </cell>
          <cell r="X478">
            <v>44504</v>
          </cell>
          <cell r="AO478">
            <v>2168100000</v>
          </cell>
          <cell r="AP478">
            <v>240900000</v>
          </cell>
          <cell r="AQ478">
            <v>2409000000</v>
          </cell>
          <cell r="BL478">
            <v>1041</v>
          </cell>
          <cell r="DZ478">
            <v>1553</v>
          </cell>
          <cell r="ED478">
            <v>433063080.87799084</v>
          </cell>
          <cell r="EF478">
            <v>1.1275109589041096E-2</v>
          </cell>
          <cell r="EH478">
            <v>0.81532327397260274</v>
          </cell>
          <cell r="EJ478">
            <v>0.17070578082191781</v>
          </cell>
          <cell r="EL478">
            <v>2.6958356164383562E-3</v>
          </cell>
          <cell r="EQ478" t="str">
            <v>Exploração. Refino e Distribuição</v>
          </cell>
        </row>
        <row r="479">
          <cell r="A479" t="str">
            <v>NU-NUBANK</v>
          </cell>
          <cell r="C479" t="str">
            <v>BDR Patrocinado Nível 3</v>
          </cell>
          <cell r="F479" t="str">
            <v>IPO</v>
          </cell>
          <cell r="G479" t="str">
            <v>ICVM 400</v>
          </cell>
          <cell r="J479">
            <v>44539</v>
          </cell>
          <cell r="M479" t="str">
            <v>NuInvest Corretora de Valores S.A.</v>
          </cell>
          <cell r="W479">
            <v>8.36</v>
          </cell>
          <cell r="X479">
            <v>44538</v>
          </cell>
          <cell r="AO479">
            <v>405680536.79999995</v>
          </cell>
          <cell r="AP479">
            <v>0</v>
          </cell>
          <cell r="AQ479">
            <v>405680536.79999995</v>
          </cell>
          <cell r="BL479">
            <v>8373110</v>
          </cell>
          <cell r="DZ479">
            <v>8373110</v>
          </cell>
          <cell r="ED479">
            <v>73011398.891368508</v>
          </cell>
          <cell r="EF479">
            <v>1</v>
          </cell>
          <cell r="EH479">
            <v>0</v>
          </cell>
          <cell r="EJ479">
            <v>0</v>
          </cell>
          <cell r="EL479">
            <v>0</v>
          </cell>
          <cell r="EQ479" t="str">
            <v>Bancos</v>
          </cell>
        </row>
        <row r="480">
          <cell r="A480" t="str">
            <v>BR PARTNERS</v>
          </cell>
          <cell r="C480" t="str">
            <v>N2</v>
          </cell>
          <cell r="F480" t="str">
            <v>FOLLOW-ON</v>
          </cell>
          <cell r="G480" t="str">
            <v>ICVM 400</v>
          </cell>
          <cell r="J480">
            <v>44588</v>
          </cell>
          <cell r="M480" t="str">
            <v>BTG Pactual</v>
          </cell>
          <cell r="W480">
            <v>16.5</v>
          </cell>
          <cell r="X480">
            <v>44586</v>
          </cell>
          <cell r="AO480">
            <v>5697516</v>
          </cell>
          <cell r="AP480">
            <v>0</v>
          </cell>
          <cell r="AQ480">
            <v>5697516</v>
          </cell>
          <cell r="BL480">
            <v>258</v>
          </cell>
          <cell r="DZ480">
            <v>265</v>
          </cell>
          <cell r="ED480">
            <v>1059017.8438661711</v>
          </cell>
          <cell r="EF480">
            <v>0.82197426036188403</v>
          </cell>
          <cell r="EH480">
            <v>0.14994034242290852</v>
          </cell>
          <cell r="EJ480">
            <v>0</v>
          </cell>
          <cell r="EL480">
            <v>2.8085397215207468E-2</v>
          </cell>
          <cell r="EQ480" t="str">
            <v>Bancos</v>
          </cell>
        </row>
        <row r="481">
          <cell r="A481" t="str">
            <v>ALPAGARTAS</v>
          </cell>
          <cell r="C481" t="str">
            <v>N1</v>
          </cell>
          <cell r="F481" t="str">
            <v>FOLLOW-ON</v>
          </cell>
          <cell r="G481" t="str">
            <v>ICVM 476</v>
          </cell>
          <cell r="J481">
            <v>44616</v>
          </cell>
          <cell r="M481" t="str">
            <v>Itaú BBA</v>
          </cell>
          <cell r="W481">
            <v>26.3</v>
          </cell>
          <cell r="X481">
            <v>44614</v>
          </cell>
          <cell r="AO481">
            <v>2498500000</v>
          </cell>
          <cell r="AP481">
            <v>0</v>
          </cell>
          <cell r="AQ481">
            <v>2498500000</v>
          </cell>
          <cell r="BL481">
            <v>16</v>
          </cell>
          <cell r="DZ481">
            <v>22</v>
          </cell>
          <cell r="ED481">
            <v>488236213.70227069</v>
          </cell>
          <cell r="EF481">
            <v>6.7936842105263161E-5</v>
          </cell>
          <cell r="EH481">
            <v>0</v>
          </cell>
          <cell r="EJ481">
            <v>0</v>
          </cell>
          <cell r="EL481">
            <v>0.3946689052631579</v>
          </cell>
          <cell r="EQ481" t="str">
            <v>Calçados</v>
          </cell>
        </row>
        <row r="482">
          <cell r="C482" t="str">
            <v>NM</v>
          </cell>
          <cell r="F482" t="str">
            <v>FOLLOW-ON</v>
          </cell>
          <cell r="G482" t="str">
            <v>ICVM 476</v>
          </cell>
          <cell r="J482">
            <v>44595</v>
          </cell>
          <cell r="M482" t="str">
            <v>Citi</v>
          </cell>
          <cell r="W482">
            <v>20</v>
          </cell>
          <cell r="X482">
            <v>44593</v>
          </cell>
          <cell r="AO482">
            <v>5400000000</v>
          </cell>
          <cell r="AP482">
            <v>0</v>
          </cell>
          <cell r="AQ482">
            <v>5400000000</v>
          </cell>
          <cell r="DZ482">
            <v>160</v>
          </cell>
          <cell r="ED482">
            <v>1018387553.0410184</v>
          </cell>
          <cell r="EF482">
            <v>1.0206333333333333E-3</v>
          </cell>
          <cell r="EH482">
            <v>9.5917377777777771E-2</v>
          </cell>
          <cell r="EJ482">
            <v>0.28559843333333335</v>
          </cell>
          <cell r="EL482">
            <v>3.7037037037037038E-3</v>
          </cell>
          <cell r="EQ482" t="str">
            <v>Carnes e Derivados</v>
          </cell>
        </row>
        <row r="483">
          <cell r="A483" t="str">
            <v>AREZZO CO</v>
          </cell>
          <cell r="C483" t="str">
            <v>NM</v>
          </cell>
          <cell r="F483" t="str">
            <v>FOLLOW-ON</v>
          </cell>
          <cell r="G483" t="str">
            <v>ICVM 476</v>
          </cell>
          <cell r="J483">
            <v>44599</v>
          </cell>
          <cell r="M483" t="str">
            <v>Itaú BBA</v>
          </cell>
          <cell r="W483">
            <v>82.35</v>
          </cell>
          <cell r="X483">
            <v>44595</v>
          </cell>
          <cell r="AO483">
            <v>833793750</v>
          </cell>
          <cell r="AP483">
            <v>0</v>
          </cell>
          <cell r="AQ483">
            <v>833793750</v>
          </cell>
          <cell r="BL483">
            <v>151</v>
          </cell>
          <cell r="DZ483">
            <v>699</v>
          </cell>
          <cell r="ED483">
            <v>157578241.64194056</v>
          </cell>
          <cell r="EF483">
            <v>1.3310617283950616E-3</v>
          </cell>
          <cell r="EH483">
            <v>0.63660641975308629</v>
          </cell>
          <cell r="EJ483">
            <v>0.36206251851851845</v>
          </cell>
          <cell r="EL483">
            <v>0</v>
          </cell>
          <cell r="EQ483" t="str">
            <v>Tecidos. Vestuário e Calçados</v>
          </cell>
        </row>
        <row r="484">
          <cell r="A484" t="str">
            <v>EQUATORIAL</v>
          </cell>
          <cell r="C484" t="str">
            <v>NM</v>
          </cell>
          <cell r="F484" t="str">
            <v>FOLLOW-ON</v>
          </cell>
          <cell r="G484" t="str">
            <v>ICVM 476</v>
          </cell>
          <cell r="J484">
            <v>44602</v>
          </cell>
          <cell r="M484" t="str">
            <v>Credit Suisse</v>
          </cell>
          <cell r="W484">
            <v>23.5</v>
          </cell>
          <cell r="X484">
            <v>44600</v>
          </cell>
          <cell r="AO484">
            <v>2782282500</v>
          </cell>
          <cell r="AP484">
            <v>0</v>
          </cell>
          <cell r="AQ484">
            <v>2782282500</v>
          </cell>
          <cell r="BL484">
            <v>379</v>
          </cell>
          <cell r="DZ484">
            <v>1119</v>
          </cell>
          <cell r="ED484">
            <v>534017101.39920545</v>
          </cell>
          <cell r="EF484">
            <v>2.0494446556020103E-3</v>
          </cell>
          <cell r="EH484">
            <v>0.51389472528400693</v>
          </cell>
          <cell r="EJ484">
            <v>0.42685947886312764</v>
          </cell>
          <cell r="EL484">
            <v>5.71963511972634E-2</v>
          </cell>
          <cell r="EQ484" t="str">
            <v>Energia Elétrica</v>
          </cell>
        </row>
        <row r="485">
          <cell r="A485" t="str">
            <v>3TENTOS</v>
          </cell>
          <cell r="C485" t="str">
            <v>NM</v>
          </cell>
          <cell r="F485" t="str">
            <v>FOLLOW-ON</v>
          </cell>
          <cell r="G485" t="str">
            <v>ICVM 400</v>
          </cell>
          <cell r="J485">
            <v>44594</v>
          </cell>
          <cell r="M485" t="str">
            <v>BTG Pactual</v>
          </cell>
          <cell r="W485">
            <v>9.6</v>
          </cell>
          <cell r="X485">
            <v>44592</v>
          </cell>
          <cell r="AO485">
            <v>4800000</v>
          </cell>
          <cell r="AP485">
            <v>0</v>
          </cell>
          <cell r="AQ485">
            <v>4800000</v>
          </cell>
          <cell r="BL485">
            <v>92</v>
          </cell>
          <cell r="DZ485">
            <v>127</v>
          </cell>
          <cell r="ED485">
            <v>906412.87106276909</v>
          </cell>
          <cell r="EF485">
            <v>0.31307799999999997</v>
          </cell>
          <cell r="EH485">
            <v>0.320932</v>
          </cell>
          <cell r="EJ485">
            <v>1.054E-3</v>
          </cell>
          <cell r="EL485">
            <v>0.36493599999999998</v>
          </cell>
          <cell r="EQ485" t="str">
            <v>Agricultura</v>
          </cell>
        </row>
        <row r="486">
          <cell r="A486" t="str">
            <v>WDC NETWORKS</v>
          </cell>
          <cell r="C486" t="str">
            <v>NM</v>
          </cell>
          <cell r="F486" t="str">
            <v>FOLLOW-ON</v>
          </cell>
          <cell r="G486" t="str">
            <v>ICVM 400</v>
          </cell>
          <cell r="J486">
            <v>44606</v>
          </cell>
          <cell r="M486" t="str">
            <v>BTG Pactual</v>
          </cell>
          <cell r="W486">
            <v>13.75</v>
          </cell>
          <cell r="X486">
            <v>44603</v>
          </cell>
          <cell r="AO486">
            <v>4592527.5</v>
          </cell>
          <cell r="AP486">
            <v>0</v>
          </cell>
          <cell r="AQ486">
            <v>4592527.5</v>
          </cell>
          <cell r="BL486">
            <v>109</v>
          </cell>
          <cell r="DZ486">
            <v>129</v>
          </cell>
          <cell r="ED486">
            <v>881381.70268299233</v>
          </cell>
          <cell r="EF486">
            <v>0.36853970934305785</v>
          </cell>
          <cell r="EH486">
            <v>0.54437099179046833</v>
          </cell>
          <cell r="EJ486">
            <v>0</v>
          </cell>
          <cell r="EL486">
            <v>8.7089298866473847E-2</v>
          </cell>
          <cell r="EQ486" t="str">
            <v>Programas e Serviços</v>
          </cell>
        </row>
        <row r="487">
          <cell r="A487" t="str">
            <v>ALLIED</v>
          </cell>
          <cell r="C487" t="str">
            <v>NM</v>
          </cell>
          <cell r="F487" t="str">
            <v>FOLLOW-ON</v>
          </cell>
          <cell r="G487" t="str">
            <v>ICVM 400</v>
          </cell>
          <cell r="J487">
            <v>44648</v>
          </cell>
          <cell r="M487" t="str">
            <v>BTG Pactual</v>
          </cell>
          <cell r="W487">
            <v>14</v>
          </cell>
          <cell r="X487">
            <v>44624</v>
          </cell>
          <cell r="AO487">
            <v>0</v>
          </cell>
          <cell r="AP487">
            <v>6412196</v>
          </cell>
          <cell r="AQ487">
            <v>6412196</v>
          </cell>
          <cell r="BL487">
            <v>47</v>
          </cell>
          <cell r="DZ487">
            <v>73</v>
          </cell>
          <cell r="ED487">
            <v>1338523.3274188498</v>
          </cell>
          <cell r="EF487">
            <v>0.16275921696716694</v>
          </cell>
          <cell r="EH487">
            <v>0.83537184452876989</v>
          </cell>
          <cell r="EJ487">
            <v>0</v>
          </cell>
          <cell r="EL487">
            <v>1.8689385040631945E-3</v>
          </cell>
          <cell r="EQ487" t="str">
            <v>Eletrodomésticos</v>
          </cell>
        </row>
        <row r="488">
          <cell r="A488" t="str">
            <v>FRAS-LE</v>
          </cell>
          <cell r="C488" t="str">
            <v>N1</v>
          </cell>
          <cell r="F488" t="str">
            <v>FOLLOW-ON</v>
          </cell>
          <cell r="G488" t="str">
            <v>ICVM 476</v>
          </cell>
          <cell r="J488">
            <v>44662</v>
          </cell>
          <cell r="M488" t="str">
            <v>Itaú BBA</v>
          </cell>
          <cell r="W488">
            <v>12</v>
          </cell>
          <cell r="X488">
            <v>44658</v>
          </cell>
          <cell r="AO488">
            <v>629400000</v>
          </cell>
          <cell r="AP488">
            <v>0</v>
          </cell>
          <cell r="AQ488">
            <v>629400000</v>
          </cell>
          <cell r="BL488">
            <v>132</v>
          </cell>
          <cell r="DZ488">
            <v>208</v>
          </cell>
          <cell r="ED488">
            <v>133843700.15948965</v>
          </cell>
          <cell r="EF488">
            <v>2.6287702573879884E-3</v>
          </cell>
          <cell r="EH488">
            <v>0.18319521448999046</v>
          </cell>
          <cell r="EJ488">
            <v>7.0974318398474734E-2</v>
          </cell>
          <cell r="EL488">
            <v>0.74320169685414683</v>
          </cell>
          <cell r="EQ488" t="str">
            <v>Material Rodoviário</v>
          </cell>
        </row>
        <row r="489">
          <cell r="A489" t="str">
            <v>CBA</v>
          </cell>
          <cell r="C489" t="str">
            <v>NM</v>
          </cell>
          <cell r="F489" t="str">
            <v>FOLLOW-ON</v>
          </cell>
          <cell r="G489" t="str">
            <v>ICVM 476</v>
          </cell>
          <cell r="J489">
            <v>44659</v>
          </cell>
          <cell r="M489" t="str">
            <v>BTG Pactual</v>
          </cell>
          <cell r="W489">
            <v>19</v>
          </cell>
          <cell r="X489">
            <v>44657</v>
          </cell>
          <cell r="AO489">
            <v>0</v>
          </cell>
          <cell r="AP489">
            <v>904400000</v>
          </cell>
          <cell r="AQ489">
            <v>904400000</v>
          </cell>
          <cell r="BL489">
            <v>3</v>
          </cell>
          <cell r="DZ489">
            <v>226</v>
          </cell>
          <cell r="ED489">
            <v>190347904.78395388</v>
          </cell>
          <cell r="EF489">
            <v>4.2846638655462182E-4</v>
          </cell>
          <cell r="EH489">
            <v>0.58890892857142862</v>
          </cell>
          <cell r="EJ489">
            <v>0.41066260504201679</v>
          </cell>
          <cell r="EL489">
            <v>0</v>
          </cell>
          <cell r="EQ489" t="str">
            <v>Minerais Metálicos</v>
          </cell>
        </row>
        <row r="490">
          <cell r="A490" t="str">
            <v>ENEVA</v>
          </cell>
          <cell r="C490" t="str">
            <v>NM</v>
          </cell>
          <cell r="F490" t="str">
            <v>FOLLOW-ON</v>
          </cell>
          <cell r="G490" t="str">
            <v>ICVM 476</v>
          </cell>
          <cell r="J490">
            <v>44740</v>
          </cell>
          <cell r="M490" t="str">
            <v>Bank of America, BTG Pactual</v>
          </cell>
          <cell r="W490">
            <v>14</v>
          </cell>
          <cell r="X490">
            <v>44735</v>
          </cell>
          <cell r="AO490">
            <v>4200000000</v>
          </cell>
          <cell r="AP490">
            <v>0</v>
          </cell>
          <cell r="AQ490">
            <v>4200000000</v>
          </cell>
          <cell r="DZ490">
            <v>906</v>
          </cell>
          <cell r="ED490">
            <v>804921520.15178514</v>
          </cell>
          <cell r="EF490">
            <v>0</v>
          </cell>
          <cell r="EH490">
            <v>0.14343439999999999</v>
          </cell>
          <cell r="EJ490">
            <v>5.1387106666666668E-2</v>
          </cell>
          <cell r="EL490">
            <v>0.80517849333333336</v>
          </cell>
          <cell r="EQ490" t="str">
            <v>Energia Elétrica</v>
          </cell>
        </row>
        <row r="491">
          <cell r="A491" t="str">
            <v>ELETROBRAS</v>
          </cell>
          <cell r="C491" t="str">
            <v>N1</v>
          </cell>
          <cell r="F491" t="str">
            <v>FOLLOW-ON</v>
          </cell>
          <cell r="G491" t="str">
            <v>ICVM 400</v>
          </cell>
          <cell r="J491">
            <v>44725</v>
          </cell>
          <cell r="M491" t="str">
            <v>BTG Pactual</v>
          </cell>
          <cell r="W491">
            <v>42</v>
          </cell>
          <cell r="X491">
            <v>44721</v>
          </cell>
          <cell r="AO491">
            <v>30756468456</v>
          </cell>
          <cell r="AP491">
            <v>2931663672</v>
          </cell>
          <cell r="AQ491">
            <v>33688132128</v>
          </cell>
          <cell r="BL491">
            <v>32573</v>
          </cell>
          <cell r="DZ491">
            <v>34759</v>
          </cell>
          <cell r="ED491">
            <v>6601244709.8935986</v>
          </cell>
          <cell r="EF491">
            <v>9.425949173836011E-2</v>
          </cell>
          <cell r="EH491">
            <v>0.5553667690720594</v>
          </cell>
          <cell r="EJ491">
            <v>0.32510708436983959</v>
          </cell>
          <cell r="EL491">
            <v>1.3069771999440906E-2</v>
          </cell>
          <cell r="EQ491" t="str">
            <v>Energia Elétrica</v>
          </cell>
        </row>
        <row r="492">
          <cell r="A492" t="str">
            <v>PETRORECSA</v>
          </cell>
          <cell r="C492" t="str">
            <v>NM</v>
          </cell>
          <cell r="F492" t="str">
            <v>FOLLOW-ON</v>
          </cell>
          <cell r="G492" t="str">
            <v>ICVM 476</v>
          </cell>
          <cell r="J492">
            <v>44729</v>
          </cell>
          <cell r="M492" t="str">
            <v>Itaú BBA</v>
          </cell>
          <cell r="W492">
            <v>23.5</v>
          </cell>
          <cell r="X492">
            <v>44726</v>
          </cell>
          <cell r="AO492">
            <v>1034000000</v>
          </cell>
          <cell r="AP492">
            <v>0</v>
          </cell>
          <cell r="AQ492">
            <v>1034000000</v>
          </cell>
          <cell r="BL492">
            <v>101</v>
          </cell>
          <cell r="DZ492">
            <v>506</v>
          </cell>
          <cell r="ED492">
            <v>201508389.68682399</v>
          </cell>
          <cell r="EF492">
            <v>2.3772727272727274E-3</v>
          </cell>
          <cell r="EH492">
            <v>0.83216015909090912</v>
          </cell>
          <cell r="EJ492">
            <v>7.6363636363636364E-6</v>
          </cell>
          <cell r="EL492">
            <v>0</v>
          </cell>
          <cell r="EQ492" t="str">
            <v>Exploração. Refino e Distribuição</v>
          </cell>
        </row>
        <row r="493">
          <cell r="A493" t="str">
            <v>CVC BRASIL</v>
          </cell>
          <cell r="C493" t="str">
            <v>NM</v>
          </cell>
          <cell r="F493" t="str">
            <v>FOLLOW-ON</v>
          </cell>
          <cell r="G493" t="str">
            <v>ICVM 476</v>
          </cell>
          <cell r="J493">
            <v>44739</v>
          </cell>
          <cell r="M493" t="str">
            <v>Citi</v>
          </cell>
          <cell r="W493">
            <v>7.7</v>
          </cell>
          <cell r="X493">
            <v>44735</v>
          </cell>
          <cell r="AO493">
            <v>402806250</v>
          </cell>
          <cell r="AP493">
            <v>0</v>
          </cell>
          <cell r="AQ493">
            <v>402806250</v>
          </cell>
          <cell r="BL493">
            <v>800</v>
          </cell>
          <cell r="DZ493">
            <v>1046</v>
          </cell>
          <cell r="ED493">
            <v>77145257.976787835</v>
          </cell>
          <cell r="EF493">
            <v>9.4403632019115901E-3</v>
          </cell>
          <cell r="EH493">
            <v>0.47047118757467149</v>
          </cell>
          <cell r="EJ493">
            <v>0.51550623655913974</v>
          </cell>
          <cell r="EL493">
            <v>4.5822126642771806E-3</v>
          </cell>
          <cell r="EQ493" t="str">
            <v>Viagens e Turismo</v>
          </cell>
        </row>
        <row r="494">
          <cell r="A494" t="str">
            <v>IRBBRASIL RE</v>
          </cell>
          <cell r="C494" t="str">
            <v>NM</v>
          </cell>
          <cell r="F494" t="str">
            <v>FOLLOW-ON</v>
          </cell>
          <cell r="G494" t="str">
            <v>ICVM 476</v>
          </cell>
          <cell r="J494">
            <v>44809</v>
          </cell>
          <cell r="M494" t="str">
            <v>Bradesco BBI</v>
          </cell>
          <cell r="W494">
            <v>1</v>
          </cell>
          <cell r="X494">
            <v>44805</v>
          </cell>
          <cell r="AO494">
            <v>1200000000</v>
          </cell>
          <cell r="AP494">
            <v>0</v>
          </cell>
          <cell r="AQ494">
            <v>1200000000</v>
          </cell>
          <cell r="BL494">
            <v>9476</v>
          </cell>
          <cell r="DZ494">
            <v>10650</v>
          </cell>
          <cell r="ED494">
            <v>232171187.55562437</v>
          </cell>
          <cell r="EF494">
            <v>5.8085305833333337E-2</v>
          </cell>
          <cell r="EH494">
            <v>0.57171718666666671</v>
          </cell>
          <cell r="EJ494">
            <v>0.1489560375</v>
          </cell>
          <cell r="EL494">
            <v>0.22124147</v>
          </cell>
          <cell r="EQ494" t="str">
            <v>Resseguradoras</v>
          </cell>
        </row>
        <row r="495">
          <cell r="A495" t="str">
            <v>VAMOS</v>
          </cell>
          <cell r="C495" t="str">
            <v>NM</v>
          </cell>
          <cell r="F495" t="str">
            <v>FOLLOW-ON</v>
          </cell>
          <cell r="G495" t="str">
            <v>ICVM 476</v>
          </cell>
          <cell r="J495">
            <v>44827</v>
          </cell>
          <cell r="M495" t="str">
            <v>BTG Pactual</v>
          </cell>
          <cell r="W495">
            <v>13.25</v>
          </cell>
          <cell r="X495">
            <v>44825</v>
          </cell>
          <cell r="AO495">
            <v>641432500</v>
          </cell>
          <cell r="AP495">
            <v>0</v>
          </cell>
          <cell r="AQ495">
            <v>641432500</v>
          </cell>
          <cell r="BL495">
            <v>191</v>
          </cell>
          <cell r="DZ495">
            <v>272</v>
          </cell>
          <cell r="ED495">
            <v>122745756.54936181</v>
          </cell>
          <cell r="EF495">
            <v>5.0047510844866759E-4</v>
          </cell>
          <cell r="EH495">
            <v>0.41163123321627765</v>
          </cell>
          <cell r="EJ495">
            <v>0.58673538525098123</v>
          </cell>
          <cell r="EL495">
            <v>1.1329064242925015E-3</v>
          </cell>
          <cell r="EQ495" t="str">
            <v>Aluguel de carros</v>
          </cell>
        </row>
        <row r="496">
          <cell r="A496" t="str">
            <v>IGUATEMI S.A.</v>
          </cell>
          <cell r="C496" t="str">
            <v>NM</v>
          </cell>
          <cell r="F496" t="str">
            <v>FOLLOW-ON</v>
          </cell>
          <cell r="G496" t="str">
            <v>ICVM 476</v>
          </cell>
          <cell r="J496">
            <v>44826</v>
          </cell>
          <cell r="M496" t="str">
            <v>BTG Pactual</v>
          </cell>
          <cell r="W496">
            <v>19.739999999999998</v>
          </cell>
          <cell r="X496">
            <v>44824</v>
          </cell>
          <cell r="AO496">
            <v>720036240</v>
          </cell>
          <cell r="AP496">
            <v>0</v>
          </cell>
          <cell r="AQ496">
            <v>720036240</v>
          </cell>
          <cell r="DZ496">
            <v>1617</v>
          </cell>
          <cell r="ED496">
            <v>139333986.1060046</v>
          </cell>
          <cell r="EF496">
            <v>0</v>
          </cell>
          <cell r="EH496">
            <v>8.7394231823664875E-2</v>
          </cell>
          <cell r="EJ496">
            <v>0</v>
          </cell>
          <cell r="EL496">
            <v>0.46944980260993524</v>
          </cell>
          <cell r="EQ496" t="str">
            <v>Exploração de Imóveis</v>
          </cell>
        </row>
        <row r="497">
          <cell r="A497" t="str">
            <v>ASSAI</v>
          </cell>
          <cell r="C497" t="str">
            <v>NM</v>
          </cell>
          <cell r="F497" t="str">
            <v>FOLLOW-ON</v>
          </cell>
          <cell r="G497" t="str">
            <v>ICVM 476</v>
          </cell>
          <cell r="J497">
            <v>44896</v>
          </cell>
          <cell r="M497" t="str">
            <v>Itaú BBA</v>
          </cell>
          <cell r="W497">
            <v>19</v>
          </cell>
          <cell r="X497">
            <v>44894</v>
          </cell>
          <cell r="AO497">
            <v>0</v>
          </cell>
          <cell r="AP497">
            <v>2675200000</v>
          </cell>
          <cell r="AQ497">
            <v>2675200000</v>
          </cell>
          <cell r="DZ497">
            <v>441</v>
          </cell>
          <cell r="ED497">
            <v>514976514.976515</v>
          </cell>
          <cell r="EF497">
            <v>1.6137073863636364E-4</v>
          </cell>
          <cell r="EH497">
            <v>0.50204392755681815</v>
          </cell>
          <cell r="EJ497">
            <v>0.48359015625000001</v>
          </cell>
          <cell r="EL497">
            <v>0</v>
          </cell>
          <cell r="EQ497" t="str">
            <v>Alimentos</v>
          </cell>
        </row>
        <row r="498">
          <cell r="C498" t="str">
            <v>BDR Patrocinado Nível 3</v>
          </cell>
          <cell r="F498" t="str">
            <v>FOLLOW-ON</v>
          </cell>
          <cell r="G498" t="str">
            <v>ICVM 476</v>
          </cell>
          <cell r="J498">
            <v>44916</v>
          </cell>
          <cell r="M498" t="str">
            <v>BTG Pactual</v>
          </cell>
          <cell r="W498">
            <v>7.16</v>
          </cell>
          <cell r="X498">
            <v>44910</v>
          </cell>
          <cell r="AO498">
            <v>70000004.920000002</v>
          </cell>
          <cell r="AP498">
            <v>0</v>
          </cell>
          <cell r="AQ498">
            <v>70000004.920000002</v>
          </cell>
          <cell r="DZ498">
            <v>0</v>
          </cell>
          <cell r="ED498">
            <v>13453519.040571967</v>
          </cell>
          <cell r="EF498">
            <v>0</v>
          </cell>
          <cell r="EH498">
            <v>0</v>
          </cell>
          <cell r="EJ498">
            <v>0</v>
          </cell>
          <cell r="EL498">
            <v>0</v>
          </cell>
          <cell r="EQ498" t="str">
            <v>Gestão de Recursos e Investimentos</v>
          </cell>
        </row>
        <row r="499">
          <cell r="A499" t="str">
            <v>ASSAI</v>
          </cell>
          <cell r="C499" t="str">
            <v>NM</v>
          </cell>
          <cell r="F499" t="str">
            <v>FOLLOW-ON</v>
          </cell>
          <cell r="J499">
            <v>45005</v>
          </cell>
          <cell r="M499" t="str">
            <v>BTG Pactual</v>
          </cell>
          <cell r="W499">
            <v>16</v>
          </cell>
          <cell r="X499">
            <v>45001</v>
          </cell>
          <cell r="AO499">
            <v>0</v>
          </cell>
          <cell r="AP499">
            <v>4064000000</v>
          </cell>
          <cell r="AQ499">
            <v>4064000000</v>
          </cell>
          <cell r="DZ499">
            <v>489</v>
          </cell>
          <cell r="ED499">
            <v>774582118.28387368</v>
          </cell>
          <cell r="EF499">
            <v>5.1618897637795277E-4</v>
          </cell>
          <cell r="EH499">
            <v>0.45671154724409446</v>
          </cell>
          <cell r="EJ499">
            <v>0.49669043307086613</v>
          </cell>
          <cell r="EL499">
            <v>0</v>
          </cell>
          <cell r="EQ499" t="str">
            <v>Alimentos</v>
          </cell>
        </row>
        <row r="500">
          <cell r="A500" t="str">
            <v>HAPVIDA</v>
          </cell>
          <cell r="C500" t="str">
            <v>NM</v>
          </cell>
          <cell r="F500" t="str">
            <v>FOLLOW-ON</v>
          </cell>
          <cell r="J500">
            <v>45030</v>
          </cell>
          <cell r="M500" t="str">
            <v>Bank of America</v>
          </cell>
          <cell r="W500">
            <v>2.68</v>
          </cell>
          <cell r="X500">
            <v>45028</v>
          </cell>
          <cell r="AO500">
            <v>1059156153.6</v>
          </cell>
          <cell r="AP500">
            <v>0</v>
          </cell>
          <cell r="AQ500">
            <v>1059156153.6</v>
          </cell>
          <cell r="BL500">
            <v>116</v>
          </cell>
          <cell r="DZ500">
            <v>823</v>
          </cell>
          <cell r="ED500">
            <v>214165636.15407947</v>
          </cell>
          <cell r="EF500">
            <v>0.34101653480682759</v>
          </cell>
          <cell r="EH500">
            <v>0.22346492799529727</v>
          </cell>
          <cell r="EJ500">
            <v>0.43540081929615104</v>
          </cell>
          <cell r="EL500">
            <v>9.2414739476617242E-5</v>
          </cell>
          <cell r="EQ500" t="str">
            <v>Serv.Méd.Hospit..Análises e Diagnósticos</v>
          </cell>
        </row>
        <row r="501">
          <cell r="A501" t="str">
            <v>DASA</v>
          </cell>
          <cell r="C501" t="str">
            <v>NM</v>
          </cell>
          <cell r="F501" t="str">
            <v>FOLLOW-ON</v>
          </cell>
          <cell r="J501">
            <v>45036</v>
          </cell>
          <cell r="M501" t="str">
            <v>Bradesco BBI</v>
          </cell>
          <cell r="W501">
            <v>8.5</v>
          </cell>
          <cell r="X501">
            <v>45034</v>
          </cell>
          <cell r="AO501">
            <v>1673290229</v>
          </cell>
          <cell r="AP501">
            <v>0</v>
          </cell>
          <cell r="AQ501">
            <v>1673290229</v>
          </cell>
          <cell r="BL501">
            <v>26</v>
          </cell>
          <cell r="DZ501">
            <v>81</v>
          </cell>
          <cell r="ED501">
            <v>331364284.80899858</v>
          </cell>
          <cell r="EF501">
            <v>4.5724404932265939E-4</v>
          </cell>
          <cell r="EH501">
            <v>9.2077843000420694E-3</v>
          </cell>
          <cell r="EJ501">
            <v>2.5077274864072609E-2</v>
          </cell>
          <cell r="EL501">
            <v>0.9652576967865627</v>
          </cell>
          <cell r="EQ501" t="str">
            <v>Serv.Méd.Hospit..Análises e Diagnósticos</v>
          </cell>
        </row>
        <row r="502">
          <cell r="A502" t="str">
            <v>ORIZON</v>
          </cell>
          <cell r="C502" t="str">
            <v>NM</v>
          </cell>
          <cell r="F502" t="str">
            <v>FOLLOW-ON</v>
          </cell>
          <cell r="J502">
            <v>45048</v>
          </cell>
          <cell r="M502" t="str">
            <v>BTG Pactual</v>
          </cell>
          <cell r="W502">
            <v>34</v>
          </cell>
          <cell r="X502">
            <v>45043</v>
          </cell>
          <cell r="AO502">
            <v>91120000</v>
          </cell>
          <cell r="AP502">
            <v>278181846</v>
          </cell>
          <cell r="AQ502">
            <v>369301846</v>
          </cell>
          <cell r="BL502">
            <v>18</v>
          </cell>
          <cell r="DZ502">
            <v>230</v>
          </cell>
          <cell r="ED502">
            <v>73370255.890650451</v>
          </cell>
          <cell r="EF502">
            <v>2.8294524149223995E-3</v>
          </cell>
          <cell r="EH502">
            <v>0.53802120989127145</v>
          </cell>
          <cell r="EJ502">
            <v>0.34267409537942034</v>
          </cell>
          <cell r="EL502">
            <v>0.11647524231438583</v>
          </cell>
          <cell r="EQ502" t="str">
            <v>Água e Saneamento</v>
          </cell>
        </row>
        <row r="503">
          <cell r="A503" t="str">
            <v>SMART FIT</v>
          </cell>
          <cell r="C503" t="str">
            <v>NM</v>
          </cell>
          <cell r="F503" t="str">
            <v>FOLLOW-ON</v>
          </cell>
          <cell r="J503">
            <v>45077</v>
          </cell>
          <cell r="M503" t="str">
            <v>Itaú BBA</v>
          </cell>
          <cell r="W503">
            <v>18.149999999999999</v>
          </cell>
          <cell r="X503">
            <v>45075</v>
          </cell>
          <cell r="AO503">
            <v>0</v>
          </cell>
          <cell r="AP503">
            <v>591730873.79999995</v>
          </cell>
          <cell r="AQ503">
            <v>591730873.79999995</v>
          </cell>
          <cell r="DZ503">
            <v>277</v>
          </cell>
          <cell r="ED503">
            <v>116119012.1077729</v>
          </cell>
          <cell r="EF503">
            <v>8.2791826773193468E-4</v>
          </cell>
          <cell r="EH503">
            <v>0.87805121560314303</v>
          </cell>
          <cell r="EJ503">
            <v>0.12112086612912505</v>
          </cell>
          <cell r="EL503">
            <v>0</v>
          </cell>
          <cell r="EQ503" t="str">
            <v>Atividades Esportivas</v>
          </cell>
        </row>
        <row r="504">
          <cell r="A504" t="str">
            <v>ONCOCLINICAS</v>
          </cell>
          <cell r="C504" t="str">
            <v>NM</v>
          </cell>
          <cell r="F504" t="str">
            <v>FOLLOW-ON</v>
          </cell>
          <cell r="J504">
            <v>45099</v>
          </cell>
          <cell r="M504" t="str">
            <v>Goldman Sachs</v>
          </cell>
          <cell r="W504">
            <v>10.25</v>
          </cell>
          <cell r="X504">
            <v>45097</v>
          </cell>
          <cell r="AO504">
            <v>205000000</v>
          </cell>
          <cell r="AP504">
            <v>691875000</v>
          </cell>
          <cell r="AQ504">
            <v>896875000</v>
          </cell>
          <cell r="BL504">
            <v>83</v>
          </cell>
          <cell r="DZ504">
            <v>290</v>
          </cell>
          <cell r="ED504">
            <v>187827225.13089004</v>
          </cell>
          <cell r="EF504">
            <v>1.2096937142857143E-2</v>
          </cell>
          <cell r="EH504">
            <v>0.31990948571428574</v>
          </cell>
          <cell r="EJ504">
            <v>0.65050881142857142</v>
          </cell>
          <cell r="EL504">
            <v>1.7484765714285713E-2</v>
          </cell>
          <cell r="EQ504" t="str">
            <v>Serv.Méd.Hospit..Análises e Diagnósticos</v>
          </cell>
        </row>
        <row r="505">
          <cell r="A505" t="str">
            <v>CVC BRASIL</v>
          </cell>
          <cell r="C505" t="str">
            <v>NM</v>
          </cell>
          <cell r="F505" t="str">
            <v>FOLLOW-ON</v>
          </cell>
          <cell r="J505">
            <v>45103</v>
          </cell>
          <cell r="M505" t="str">
            <v>Citi</v>
          </cell>
          <cell r="W505">
            <v>3.3</v>
          </cell>
          <cell r="X505">
            <v>45099</v>
          </cell>
          <cell r="AO505">
            <v>549999997.79999995</v>
          </cell>
          <cell r="AP505">
            <v>0</v>
          </cell>
          <cell r="AQ505">
            <v>549999997.79999995</v>
          </cell>
          <cell r="BL505">
            <v>705</v>
          </cell>
          <cell r="DZ505">
            <v>872</v>
          </cell>
          <cell r="ED505">
            <v>115308817.51855423</v>
          </cell>
          <cell r="EF505">
            <v>1.7836404071345617E-2</v>
          </cell>
          <cell r="EH505">
            <v>0.74633372698533496</v>
          </cell>
          <cell r="EJ505">
            <v>0.23578803694315217</v>
          </cell>
          <cell r="EL505">
            <v>4.1832000167328E-5</v>
          </cell>
          <cell r="EQ505" t="str">
            <v>Viagens e Turismo</v>
          </cell>
        </row>
        <row r="506">
          <cell r="A506" t="str">
            <v>LOCALIZA</v>
          </cell>
          <cell r="C506" t="str">
            <v>NM</v>
          </cell>
          <cell r="F506" t="str">
            <v>FOLLOW-ON</v>
          </cell>
          <cell r="J506">
            <v>45105</v>
          </cell>
          <cell r="M506" t="str">
            <v>Itaú BBA</v>
          </cell>
          <cell r="W506">
            <v>66.64</v>
          </cell>
          <cell r="X506">
            <v>45103</v>
          </cell>
          <cell r="AO506">
            <v>4500000079.6800003</v>
          </cell>
          <cell r="AP506">
            <v>0</v>
          </cell>
          <cell r="AQ506">
            <v>4500000079.6800003</v>
          </cell>
          <cell r="BL506">
            <v>329</v>
          </cell>
          <cell r="DZ506">
            <v>1138</v>
          </cell>
          <cell r="ED506">
            <v>926631402.4421885</v>
          </cell>
          <cell r="EF506">
            <v>2.1279484423211261E-3</v>
          </cell>
          <cell r="EH506">
            <v>0.41592212017318342</v>
          </cell>
          <cell r="EJ506">
            <v>0.57999444725912053</v>
          </cell>
          <cell r="EL506">
            <v>1.955484125374894E-3</v>
          </cell>
          <cell r="EQ506" t="str">
            <v>Aluguel de carros</v>
          </cell>
        </row>
        <row r="507">
          <cell r="A507" t="str">
            <v>VAMOS</v>
          </cell>
          <cell r="C507" t="str">
            <v>NM</v>
          </cell>
          <cell r="F507" t="str">
            <v>FOLLOW-ON</v>
          </cell>
          <cell r="J507">
            <v>45107</v>
          </cell>
          <cell r="M507" t="str">
            <v>BTG Pactual</v>
          </cell>
          <cell r="W507">
            <v>11</v>
          </cell>
          <cell r="X507">
            <v>45106</v>
          </cell>
          <cell r="AO507">
            <v>868192589</v>
          </cell>
          <cell r="AP507">
            <v>434096289</v>
          </cell>
          <cell r="AQ507">
            <v>1302288878</v>
          </cell>
          <cell r="BL507">
            <v>828</v>
          </cell>
          <cell r="DZ507">
            <v>1262</v>
          </cell>
          <cell r="ED507">
            <v>270229265.8532536</v>
          </cell>
          <cell r="EF507">
            <v>1.8056861574456294E-3</v>
          </cell>
          <cell r="EH507">
            <v>0.3301534561673497</v>
          </cell>
          <cell r="EJ507">
            <v>0.45902915635589109</v>
          </cell>
          <cell r="EL507">
            <v>0.20901170131931357</v>
          </cell>
          <cell r="EQ507" t="str">
            <v>Aluguel de carros</v>
          </cell>
        </row>
        <row r="508">
          <cell r="A508" t="str">
            <v>DIRECIONAL</v>
          </cell>
          <cell r="C508" t="str">
            <v>NM</v>
          </cell>
          <cell r="F508" t="str">
            <v>FOLLOW-ON</v>
          </cell>
          <cell r="J508">
            <v>45110</v>
          </cell>
          <cell r="M508" t="str">
            <v>Itaú BBA</v>
          </cell>
          <cell r="W508">
            <v>18.25</v>
          </cell>
          <cell r="X508">
            <v>45106</v>
          </cell>
          <cell r="AO508">
            <v>428875000</v>
          </cell>
          <cell r="AP508">
            <v>0</v>
          </cell>
          <cell r="AQ508">
            <v>428875000</v>
          </cell>
          <cell r="BL508">
            <v>514</v>
          </cell>
          <cell r="DZ508">
            <v>884</v>
          </cell>
          <cell r="ED508">
            <v>89580374.300275713</v>
          </cell>
          <cell r="EF508">
            <v>4.0331489361702128E-3</v>
          </cell>
          <cell r="EH508">
            <v>0.63431285106382984</v>
          </cell>
          <cell r="EJ508">
            <v>0.35717612765957446</v>
          </cell>
          <cell r="EL508">
            <v>4.4778723404255323E-3</v>
          </cell>
          <cell r="EQ508" t="str">
            <v>Incorporações</v>
          </cell>
        </row>
        <row r="509">
          <cell r="A509" t="str">
            <v>HIDROVIAS</v>
          </cell>
          <cell r="C509" t="str">
            <v>NM</v>
          </cell>
          <cell r="F509" t="str">
            <v>FOLLOW-ON</v>
          </cell>
          <cell r="J509">
            <v>45119</v>
          </cell>
          <cell r="M509" t="str">
            <v>Itaú BBA</v>
          </cell>
          <cell r="W509">
            <v>3.4</v>
          </cell>
          <cell r="X509">
            <v>45119</v>
          </cell>
          <cell r="AO509">
            <v>0</v>
          </cell>
          <cell r="AP509">
            <v>442000000</v>
          </cell>
          <cell r="AQ509">
            <v>442000000</v>
          </cell>
          <cell r="BL509">
            <v>1</v>
          </cell>
          <cell r="DZ509">
            <v>167</v>
          </cell>
          <cell r="ED509">
            <v>91972200.258021563</v>
          </cell>
          <cell r="EF509">
            <v>2.4537692307692307E-3</v>
          </cell>
          <cell r="EH509">
            <v>0.58281086923076919</v>
          </cell>
          <cell r="EJ509">
            <v>0.22242766923076923</v>
          </cell>
          <cell r="EL509">
            <v>0.19230769230769232</v>
          </cell>
          <cell r="EQ509" t="str">
            <v>Tansporte Hidroviário</v>
          </cell>
        </row>
        <row r="510">
          <cell r="A510" t="str">
            <v>MRV</v>
          </cell>
          <cell r="C510" t="str">
            <v>NM</v>
          </cell>
          <cell r="F510" t="str">
            <v>FOLLOW-ON</v>
          </cell>
          <cell r="J510">
            <v>45124</v>
          </cell>
          <cell r="M510" t="str">
            <v>BTG Pactual</v>
          </cell>
          <cell r="W510">
            <v>12.8</v>
          </cell>
          <cell r="X510">
            <v>45120</v>
          </cell>
          <cell r="AO510">
            <v>1000793600</v>
          </cell>
          <cell r="AP510">
            <v>0</v>
          </cell>
          <cell r="AQ510">
            <v>1000793600</v>
          </cell>
          <cell r="BL510">
            <v>406</v>
          </cell>
          <cell r="DZ510">
            <v>839</v>
          </cell>
          <cell r="ED510">
            <v>207195064.38656786</v>
          </cell>
          <cell r="EF510">
            <v>2.3110875209433794E-3</v>
          </cell>
          <cell r="EH510">
            <v>0.63745205724736853</v>
          </cell>
          <cell r="EJ510">
            <v>0.35017959507334984</v>
          </cell>
          <cell r="EL510">
            <v>1.0057260158338343E-2</v>
          </cell>
          <cell r="EQ510" t="str">
            <v>Incorporações</v>
          </cell>
        </row>
        <row r="511">
          <cell r="A511" t="str">
            <v>BRF</v>
          </cell>
          <cell r="C511" t="str">
            <v>NM</v>
          </cell>
          <cell r="F511" t="str">
            <v>FOLLOW-ON</v>
          </cell>
          <cell r="J511">
            <v>45124</v>
          </cell>
          <cell r="M511" t="str">
            <v>J.P. Morgan</v>
          </cell>
          <cell r="W511">
            <v>9</v>
          </cell>
          <cell r="X511">
            <v>45121</v>
          </cell>
          <cell r="AO511">
            <v>5400000000</v>
          </cell>
          <cell r="AP511">
            <v>0</v>
          </cell>
          <cell r="AQ511">
            <v>5400000000</v>
          </cell>
          <cell r="BL511">
            <v>503</v>
          </cell>
          <cell r="DZ511">
            <v>890</v>
          </cell>
          <cell r="ED511">
            <v>1117966129.7668834</v>
          </cell>
          <cell r="EF511">
            <v>6.5553033333333333E-3</v>
          </cell>
          <cell r="EH511">
            <v>0.25606684666666668</v>
          </cell>
          <cell r="EJ511">
            <v>0.40318886333333331</v>
          </cell>
          <cell r="EL511">
            <v>0.33418898666666669</v>
          </cell>
          <cell r="EQ511" t="str">
            <v>Carnes e Derivados</v>
          </cell>
        </row>
        <row r="512">
          <cell r="A512" t="str">
            <v xml:space="preserve">VIVEO </v>
          </cell>
          <cell r="C512" t="str">
            <v>NM</v>
          </cell>
          <cell r="F512" t="str">
            <v>FOLLOW-ON</v>
          </cell>
          <cell r="J512">
            <v>45139</v>
          </cell>
          <cell r="M512" t="str">
            <v>Banco Itaú BBA S.A</v>
          </cell>
          <cell r="W512">
            <v>21.21</v>
          </cell>
          <cell r="X512">
            <v>45139</v>
          </cell>
          <cell r="AO512">
            <v>778348630.08000004</v>
          </cell>
          <cell r="AP512">
            <v>445410000</v>
          </cell>
          <cell r="AQ512">
            <v>1223758630.0799999</v>
          </cell>
          <cell r="BL512">
            <v>5</v>
          </cell>
          <cell r="DZ512">
            <v>195</v>
          </cell>
          <cell r="ED512">
            <v>256273795.87870663</v>
          </cell>
          <cell r="EF512">
            <v>1.4167400150523642E-3</v>
          </cell>
          <cell r="EH512">
            <v>0.57070897038278157</v>
          </cell>
          <cell r="EJ512">
            <v>0.41790552991366242</v>
          </cell>
          <cell r="EL512">
            <v>9.968759688503687E-3</v>
          </cell>
          <cell r="EQ512" t="str">
            <v>Medicamentos e Outros Produtos</v>
          </cell>
        </row>
        <row r="513">
          <cell r="A513" t="str">
            <v>COPEL</v>
          </cell>
          <cell r="C513" t="str">
            <v>N2</v>
          </cell>
          <cell r="F513" t="str">
            <v>FOLLOW-ON</v>
          </cell>
          <cell r="J513">
            <v>45148</v>
          </cell>
          <cell r="M513" t="str">
            <v>Banco BTG Pactual S.A.</v>
          </cell>
          <cell r="W513">
            <v>8.25</v>
          </cell>
          <cell r="X513">
            <v>45146</v>
          </cell>
          <cell r="AO513">
            <v>2031618938.25</v>
          </cell>
          <cell r="AP513">
            <v>3099820424.25</v>
          </cell>
          <cell r="AQ513">
            <v>5131439362.5</v>
          </cell>
          <cell r="BL513">
            <v>3838</v>
          </cell>
          <cell r="DZ513">
            <v>4473</v>
          </cell>
          <cell r="ED513">
            <v>1042615226.9541011</v>
          </cell>
          <cell r="EF513">
            <v>1.6074064540794814E-2</v>
          </cell>
          <cell r="EH513">
            <v>0.55441000468413892</v>
          </cell>
          <cell r="EJ513">
            <v>0.44362849946860305</v>
          </cell>
          <cell r="EL513">
            <v>1.2477414323143528E-3</v>
          </cell>
          <cell r="EQ513" t="str">
            <v>Energia Elétrica</v>
          </cell>
        </row>
        <row r="514">
          <cell r="A514" t="str">
            <v>TENDA</v>
          </cell>
          <cell r="C514" t="str">
            <v>NM</v>
          </cell>
          <cell r="F514" t="str">
            <v>FOLLOW-ON</v>
          </cell>
          <cell r="J514">
            <v>45175</v>
          </cell>
          <cell r="M514" t="str">
            <v>Banco Bradesco BBI S.A</v>
          </cell>
          <cell r="W514">
            <v>12.5</v>
          </cell>
          <cell r="X514">
            <v>45173</v>
          </cell>
          <cell r="AO514">
            <v>187500000</v>
          </cell>
          <cell r="AP514">
            <v>46875000</v>
          </cell>
          <cell r="AQ514">
            <v>234375000</v>
          </cell>
          <cell r="BL514">
            <v>56</v>
          </cell>
          <cell r="DZ514">
            <v>239</v>
          </cell>
          <cell r="ED514">
            <v>47660444.119082481</v>
          </cell>
          <cell r="EF514">
            <v>3.6344533333333333E-3</v>
          </cell>
          <cell r="EH514">
            <v>0.84315152000000004</v>
          </cell>
          <cell r="EJ514">
            <v>0.14738138666666667</v>
          </cell>
          <cell r="EL514">
            <v>5.83264E-3</v>
          </cell>
          <cell r="EQ514" t="str">
            <v>Incorporações</v>
          </cell>
        </row>
        <row r="515">
          <cell r="A515" t="str">
            <v>CASAS BAHIA</v>
          </cell>
          <cell r="C515" t="str">
            <v>NM</v>
          </cell>
          <cell r="F515" t="str">
            <v>FOLLOW-ON</v>
          </cell>
          <cell r="J515">
            <v>45187</v>
          </cell>
          <cell r="M515" t="str">
            <v>UBS Brasil Corretora de Câmbio, Títulos e Valores Mobiliários S.A.</v>
          </cell>
          <cell r="W515">
            <v>0.8</v>
          </cell>
          <cell r="X515">
            <v>45182</v>
          </cell>
          <cell r="AO515">
            <v>622919426.39999998</v>
          </cell>
          <cell r="AP515">
            <v>0</v>
          </cell>
          <cell r="AQ515">
            <v>622919426.39999998</v>
          </cell>
          <cell r="BL515">
            <v>1700</v>
          </cell>
          <cell r="DZ515">
            <v>2084</v>
          </cell>
          <cell r="ED515">
            <v>126684311.1590165</v>
          </cell>
          <cell r="EF515">
            <v>1.6066568445038946E-2</v>
          </cell>
          <cell r="EH515">
            <v>0.6998334178136012</v>
          </cell>
          <cell r="EJ515">
            <v>0.15219737382073723</v>
          </cell>
          <cell r="EL515">
            <v>0.13190263992062265</v>
          </cell>
          <cell r="EQ515" t="str">
            <v>Eletrodomésticos</v>
          </cell>
        </row>
        <row r="516">
          <cell r="A516" t="str">
            <v>BR PARTNERS</v>
          </cell>
          <cell r="C516" t="str">
            <v>N2</v>
          </cell>
          <cell r="F516" t="str">
            <v>FOLLOW-ON</v>
          </cell>
          <cell r="J516">
            <v>45197</v>
          </cell>
          <cell r="M516" t="str">
            <v>BTG Pactual Investment Banking Ltda.</v>
          </cell>
          <cell r="W516">
            <v>4.25</v>
          </cell>
          <cell r="X516">
            <v>45195</v>
          </cell>
          <cell r="AO516">
            <v>0</v>
          </cell>
          <cell r="AP516">
            <v>214479747.75</v>
          </cell>
          <cell r="AQ516">
            <v>214479747.75</v>
          </cell>
          <cell r="DZ516">
            <v>92</v>
          </cell>
          <cell r="ED516">
            <v>43140122.644165978</v>
          </cell>
          <cell r="EF516">
            <v>0</v>
          </cell>
          <cell r="EH516">
            <v>0.20620291875553085</v>
          </cell>
          <cell r="EJ516">
            <v>8.0505969356726825E-2</v>
          </cell>
          <cell r="EL516">
            <v>4.6624445221075658E-2</v>
          </cell>
          <cell r="EQ516" t="str">
            <v>Bancos</v>
          </cell>
        </row>
        <row r="517">
          <cell r="A517" t="str">
            <v>AMBIPAR</v>
          </cell>
          <cell r="C517" t="str">
            <v>NM</v>
          </cell>
          <cell r="F517" t="str">
            <v>FOLLOW-ON</v>
          </cell>
          <cell r="J517">
            <v>45233</v>
          </cell>
          <cell r="M517" t="str">
            <v>BTG Pactual Investment Banking Ltda.</v>
          </cell>
          <cell r="W517">
            <v>13.25</v>
          </cell>
          <cell r="X517">
            <v>45230</v>
          </cell>
          <cell r="AO517">
            <v>716908223.25</v>
          </cell>
          <cell r="AP517">
            <v>0</v>
          </cell>
          <cell r="AQ517">
            <v>716908223.25</v>
          </cell>
          <cell r="BL517">
            <v>443</v>
          </cell>
          <cell r="DZ517">
            <v>590</v>
          </cell>
          <cell r="ED517">
            <v>146577023.76814556</v>
          </cell>
          <cell r="EF517">
            <v>5.0920890312161722E-3</v>
          </cell>
          <cell r="EH517">
            <v>0.19267897935916165</v>
          </cell>
          <cell r="EJ517">
            <v>2.0831038082251487E-2</v>
          </cell>
          <cell r="EL517">
            <v>0.78139789352737066</v>
          </cell>
          <cell r="EQ517" t="str">
            <v>Água e Saneamento</v>
          </cell>
        </row>
        <row r="518">
          <cell r="A518" t="str">
            <v>METAL LEVE</v>
          </cell>
          <cell r="C518" t="str">
            <v>NM</v>
          </cell>
          <cell r="F518" t="str">
            <v>FOLLOW-ON</v>
          </cell>
          <cell r="J518">
            <v>45236</v>
          </cell>
          <cell r="M518" t="str">
            <v>Banco Itaú BBA S.A.</v>
          </cell>
          <cell r="W518">
            <v>28</v>
          </cell>
          <cell r="X518">
            <v>45230</v>
          </cell>
          <cell r="AO518">
            <v>202454000</v>
          </cell>
          <cell r="AP518">
            <v>200000024</v>
          </cell>
          <cell r="AQ518">
            <v>402454024</v>
          </cell>
          <cell r="BL518">
            <v>461</v>
          </cell>
          <cell r="DZ518">
            <v>659</v>
          </cell>
          <cell r="ED518">
            <v>82135150.513275787</v>
          </cell>
          <cell r="EF518">
            <v>2.7580889587527145E-3</v>
          </cell>
          <cell r="EH518">
            <v>0.68327561311699048</v>
          </cell>
          <cell r="EJ518">
            <v>0.3138984640889067</v>
          </cell>
          <cell r="EL518">
            <v>6.7833835350097037E-5</v>
          </cell>
          <cell r="EQ518" t="str">
            <v>Automóveis e Motocicletas</v>
          </cell>
        </row>
        <row r="519">
          <cell r="A519" t="str">
            <v>AERIS</v>
          </cell>
          <cell r="C519" t="str">
            <v>NM</v>
          </cell>
          <cell r="F519" t="str">
            <v>FOLLOW-ON</v>
          </cell>
          <cell r="J519">
            <v>45264</v>
          </cell>
          <cell r="M519" t="str">
            <v>BTG Pactual Investment Banking Ltda</v>
          </cell>
          <cell r="W519">
            <v>0.84</v>
          </cell>
          <cell r="X519">
            <v>45260</v>
          </cell>
          <cell r="AO519">
            <v>400000000.68000001</v>
          </cell>
          <cell r="AP519">
            <v>0</v>
          </cell>
          <cell r="AQ519">
            <v>400000000.68000001</v>
          </cell>
          <cell r="BL519">
            <v>642</v>
          </cell>
          <cell r="DZ519">
            <v>788</v>
          </cell>
          <cell r="ED519">
            <v>81481330.7286468</v>
          </cell>
          <cell r="EF519">
            <v>6.1464269895510739E-3</v>
          </cell>
          <cell r="EH519">
            <v>3.0870230947520607E-3</v>
          </cell>
          <cell r="EJ519">
            <v>5.0588390913999734E-3</v>
          </cell>
          <cell r="EL519">
            <v>0.98570771082429687</v>
          </cell>
          <cell r="EQ519" t="str">
            <v>Máq. e Equip. Industriais</v>
          </cell>
        </row>
        <row r="520">
          <cell r="A520" t="str">
            <v>INFRACOMM</v>
          </cell>
          <cell r="C520" t="str">
            <v>NM</v>
          </cell>
          <cell r="F520" t="str">
            <v>FOLLOW-ON</v>
          </cell>
          <cell r="J520">
            <v>45278</v>
          </cell>
          <cell r="M520" t="str">
            <v>Banco Itaú BBA S.A.</v>
          </cell>
          <cell r="W520">
            <v>1.6</v>
          </cell>
          <cell r="X520">
            <v>45274</v>
          </cell>
          <cell r="AO520">
            <v>400000000</v>
          </cell>
          <cell r="AP520">
            <v>0</v>
          </cell>
          <cell r="AQ520">
            <v>400000000</v>
          </cell>
          <cell r="BL520">
            <v>237</v>
          </cell>
          <cell r="DZ520">
            <v>360</v>
          </cell>
          <cell r="ED520">
            <v>80973299.054636732</v>
          </cell>
          <cell r="EF520">
            <v>1.8171179999999999E-2</v>
          </cell>
          <cell r="EH520">
            <v>0.30932751200000003</v>
          </cell>
          <cell r="EJ520">
            <v>0.47062782400000008</v>
          </cell>
          <cell r="EL520">
            <v>7.0200880000000007E-3</v>
          </cell>
          <cell r="EQ520" t="str">
            <v>Programas e Serviços</v>
          </cell>
        </row>
        <row r="521">
          <cell r="A521" t="str">
            <v>ENERGISA</v>
          </cell>
          <cell r="C521" t="str">
            <v>N2</v>
          </cell>
          <cell r="F521" t="str">
            <v>FOLLOW-ON</v>
          </cell>
          <cell r="J521">
            <v>45322</v>
          </cell>
          <cell r="M521" t="str">
            <v xml:space="preserve">Banco Itaú BBA S.A. </v>
          </cell>
          <cell r="W521">
            <v>9.9600000000000009</v>
          </cell>
          <cell r="X521">
            <v>45320</v>
          </cell>
          <cell r="AO521">
            <v>2493367705.0800004</v>
          </cell>
          <cell r="AP521">
            <v>0</v>
          </cell>
          <cell r="AQ521">
            <v>2493367705.0800004</v>
          </cell>
          <cell r="BL521">
            <v>86</v>
          </cell>
          <cell r="DZ521">
            <v>1675</v>
          </cell>
          <cell r="ED521">
            <v>503354740.09892005</v>
          </cell>
          <cell r="EF521">
            <v>1.0121902208238574E-2</v>
          </cell>
          <cell r="EH521">
            <v>0.39021079502141981</v>
          </cell>
          <cell r="EJ521">
            <v>0.22598613156494743</v>
          </cell>
          <cell r="EL521">
            <v>0.37368117120539407</v>
          </cell>
          <cell r="EQ521" t="str">
            <v>Energia Elétrica</v>
          </cell>
        </row>
        <row r="522">
          <cell r="A522" t="str">
            <v>VULCABRAS</v>
          </cell>
          <cell r="C522" t="str">
            <v xml:space="preserve">NM </v>
          </cell>
          <cell r="F522" t="str">
            <v>FOLLOW-ON</v>
          </cell>
          <cell r="J522">
            <v>45330</v>
          </cell>
          <cell r="M522" t="str">
            <v>BTG Pactual Investment Banking Ltda.</v>
          </cell>
          <cell r="W522">
            <v>18.5</v>
          </cell>
          <cell r="X522">
            <v>45328</v>
          </cell>
          <cell r="AO522">
            <v>501350000</v>
          </cell>
          <cell r="AP522">
            <v>0</v>
          </cell>
          <cell r="AQ522">
            <v>501350000</v>
          </cell>
          <cell r="BL522">
            <v>132</v>
          </cell>
          <cell r="DZ522">
            <v>363</v>
          </cell>
          <cell r="ED522">
            <v>100901644.29327591</v>
          </cell>
          <cell r="EF522">
            <v>9.4103690036900361E-3</v>
          </cell>
          <cell r="EH522">
            <v>0.57320147601476013</v>
          </cell>
          <cell r="EJ522">
            <v>0.22573583025830257</v>
          </cell>
          <cell r="EL522">
            <v>0.19165232472324722</v>
          </cell>
          <cell r="EQ522" t="str">
            <v>Calçados</v>
          </cell>
        </row>
        <row r="523">
          <cell r="A523" t="str">
            <v>PRINER</v>
          </cell>
          <cell r="C523" t="str">
            <v>NM</v>
          </cell>
          <cell r="F523" t="str">
            <v>FOLLOW-ON</v>
          </cell>
          <cell r="J523">
            <v>45336</v>
          </cell>
          <cell r="M523" t="str">
            <v>Banco Itaú BBA S.A.</v>
          </cell>
          <cell r="W523">
            <v>11.44</v>
          </cell>
          <cell r="X523">
            <v>45330</v>
          </cell>
          <cell r="AO523">
            <v>89375000</v>
          </cell>
          <cell r="AP523">
            <v>0</v>
          </cell>
          <cell r="AQ523">
            <v>89375000</v>
          </cell>
          <cell r="BL523">
            <v>101</v>
          </cell>
          <cell r="DZ523">
            <v>176</v>
          </cell>
          <cell r="ED523">
            <v>17945345.755361013</v>
          </cell>
          <cell r="EF523">
            <v>1.5108479999999999E-2</v>
          </cell>
          <cell r="EH523">
            <v>0.93813235200000011</v>
          </cell>
          <cell r="EJ523">
            <v>4.2719488E-2</v>
          </cell>
          <cell r="EL523">
            <v>4.0396799999999995E-3</v>
          </cell>
          <cell r="EQ523" t="str">
            <v>Serviços Diversos</v>
          </cell>
        </row>
        <row r="524">
          <cell r="A524" t="str">
            <v>P.ACUCAR-CBD</v>
          </cell>
          <cell r="C524" t="str">
            <v>NM</v>
          </cell>
          <cell r="F524" t="str">
            <v>FOLLOW-ON</v>
          </cell>
          <cell r="J524">
            <v>45366</v>
          </cell>
          <cell r="M524" t="str">
            <v xml:space="preserve">Banco Itaú BBA S.A. </v>
          </cell>
          <cell r="W524">
            <v>3.2</v>
          </cell>
          <cell r="X524">
            <v>45364</v>
          </cell>
          <cell r="AO524">
            <v>704000000</v>
          </cell>
          <cell r="AP524">
            <v>0</v>
          </cell>
          <cell r="AQ524">
            <v>704000000</v>
          </cell>
          <cell r="BL524">
            <v>147</v>
          </cell>
          <cell r="DZ524">
            <v>389</v>
          </cell>
          <cell r="ED524">
            <v>140977631.81608829</v>
          </cell>
          <cell r="EF524">
            <v>6.3961545454545451E-2</v>
          </cell>
          <cell r="EH524">
            <v>0.45772170909090909</v>
          </cell>
          <cell r="EJ524">
            <v>0.4549614818181818</v>
          </cell>
          <cell r="EL524">
            <v>2.3355263636363637E-2</v>
          </cell>
          <cell r="EQ524" t="str">
            <v>Alimentos</v>
          </cell>
        </row>
        <row r="525">
          <cell r="A525" t="str">
            <v>SERENA</v>
          </cell>
          <cell r="C525" t="str">
            <v>NM</v>
          </cell>
          <cell r="F525" t="str">
            <v>FOLLOW-ON</v>
          </cell>
          <cell r="J525">
            <v>45383</v>
          </cell>
          <cell r="M525" t="str">
            <v>BTG Pactual Investment Banking Ltda.</v>
          </cell>
          <cell r="W525">
            <v>9</v>
          </cell>
          <cell r="X525">
            <v>45378</v>
          </cell>
          <cell r="AO525">
            <v>0</v>
          </cell>
          <cell r="AP525">
            <v>775386783</v>
          </cell>
          <cell r="AQ525">
            <v>775386783</v>
          </cell>
          <cell r="BL525">
            <v>1</v>
          </cell>
          <cell r="DZ525">
            <v>258</v>
          </cell>
          <cell r="ED525">
            <v>153444704.9394443</v>
          </cell>
          <cell r="EF525">
            <v>3.8992346352646045E-3</v>
          </cell>
          <cell r="EH525">
            <v>0.59505323293600687</v>
          </cell>
          <cell r="EJ525">
            <v>0.31721839266893975</v>
          </cell>
          <cell r="EL525">
            <v>8.3829139759788757E-2</v>
          </cell>
          <cell r="EQ525" t="str">
            <v>Energia Elétrica</v>
          </cell>
        </row>
        <row r="526">
          <cell r="A526" t="str">
            <v>BOA SAFRA</v>
          </cell>
          <cell r="C526" t="str">
            <v>NM</v>
          </cell>
          <cell r="F526" t="str">
            <v>FOLLOW-ON</v>
          </cell>
          <cell r="J526">
            <v>45404</v>
          </cell>
          <cell r="M526" t="str">
            <v>BTG Pactual Investment Banking LTDA</v>
          </cell>
          <cell r="W526">
            <v>16.5</v>
          </cell>
          <cell r="X526">
            <v>45400</v>
          </cell>
          <cell r="AO526">
            <v>299999997</v>
          </cell>
          <cell r="AP526">
            <v>0</v>
          </cell>
          <cell r="AQ526">
            <v>299999997</v>
          </cell>
          <cell r="BL526">
            <v>265</v>
          </cell>
          <cell r="DZ526">
            <v>414</v>
          </cell>
          <cell r="ED526">
            <v>57129798.331809871</v>
          </cell>
          <cell r="EF526">
            <v>1.4569775145697751E-2</v>
          </cell>
          <cell r="EH526">
            <v>0.5325268903252689</v>
          </cell>
          <cell r="EJ526">
            <v>5.1685040516850404E-2</v>
          </cell>
          <cell r="EL526">
            <v>0.40121829401218295</v>
          </cell>
          <cell r="EQ526" t="str">
            <v>Agricultura</v>
          </cell>
        </row>
        <row r="527">
          <cell r="A527" t="str">
            <v>TRAN PAULIST</v>
          </cell>
          <cell r="C527" t="str">
            <v>N1</v>
          </cell>
          <cell r="F527" t="str">
            <v>FOLLOW-ON</v>
          </cell>
          <cell r="J527">
            <v>45495</v>
          </cell>
          <cell r="M527" t="str">
            <v>Citigroup Global Markets Brasil, Corretora de Câmbio, Títulos e Valores Mobiliários S.A.</v>
          </cell>
          <cell r="W527">
            <v>23.5</v>
          </cell>
          <cell r="X527">
            <v>45491</v>
          </cell>
          <cell r="AO527">
            <v>0</v>
          </cell>
          <cell r="AP527">
            <v>2185500000</v>
          </cell>
          <cell r="AQ527">
            <v>2185500000</v>
          </cell>
          <cell r="BL527">
            <v>14</v>
          </cell>
          <cell r="DZ527">
            <v>337</v>
          </cell>
          <cell r="ED527">
            <v>393089679.48487353</v>
          </cell>
          <cell r="EF527">
            <v>1.7473118279569893E-3</v>
          </cell>
          <cell r="EH527">
            <v>0.58973763440860216</v>
          </cell>
          <cell r="EJ527">
            <v>0.40851505376344088</v>
          </cell>
          <cell r="EL527">
            <v>0</v>
          </cell>
          <cell r="EQ527" t="str">
            <v>Energia Elétrica</v>
          </cell>
        </row>
        <row r="528">
          <cell r="A528" t="str">
            <v>SABESP</v>
          </cell>
          <cell r="C528" t="str">
            <v>NM</v>
          </cell>
          <cell r="F528" t="str">
            <v>FOLLOW-ON</v>
          </cell>
          <cell r="J528">
            <v>45492</v>
          </cell>
          <cell r="M528" t="str">
            <v>BTG Pactual Investment Banking Ltda.</v>
          </cell>
          <cell r="W528">
            <v>67</v>
          </cell>
          <cell r="X528">
            <v>45491</v>
          </cell>
          <cell r="AO528">
            <v>0</v>
          </cell>
          <cell r="AP528">
            <v>14771490000</v>
          </cell>
          <cell r="AQ528">
            <v>14771490000</v>
          </cell>
          <cell r="BL528">
            <v>17572</v>
          </cell>
          <cell r="DZ528">
            <v>19543</v>
          </cell>
          <cell r="ED528">
            <v>2659469240.0482512</v>
          </cell>
          <cell r="EF528">
            <v>9.9813598221980313E-2</v>
          </cell>
          <cell r="EH528">
            <v>0.22569861659182655</v>
          </cell>
          <cell r="EJ528">
            <v>0.19636581847870457</v>
          </cell>
          <cell r="EL528">
            <v>0.47000520705764959</v>
          </cell>
          <cell r="EQ528" t="str">
            <v>Água e Saneamento</v>
          </cell>
        </row>
        <row r="529">
          <cell r="A529" t="str">
            <v>ENEVA</v>
          </cell>
          <cell r="C529" t="str">
            <v>NM</v>
          </cell>
          <cell r="F529" t="str">
            <v>FOLLOW-ON</v>
          </cell>
          <cell r="J529">
            <v>45579</v>
          </cell>
          <cell r="M529" t="str">
            <v>BTG Pactual Investment Banking Ltda.</v>
          </cell>
          <cell r="W529">
            <v>14</v>
          </cell>
          <cell r="X529">
            <v>45575</v>
          </cell>
          <cell r="AO529">
            <v>3200000006</v>
          </cell>
          <cell r="AP529">
            <v>0</v>
          </cell>
          <cell r="AQ529">
            <v>3200000006</v>
          </cell>
          <cell r="BL529">
            <v>65</v>
          </cell>
          <cell r="DZ529">
            <v>254</v>
          </cell>
          <cell r="ED529">
            <v>570969757.5162816</v>
          </cell>
          <cell r="EF529">
            <v>9.4429999822943757E-5</v>
          </cell>
          <cell r="EH529">
            <v>0.10784016229779969</v>
          </cell>
          <cell r="EJ529">
            <v>6.8098121747316026E-2</v>
          </cell>
          <cell r="EL529">
            <v>0.8239672859550613</v>
          </cell>
          <cell r="EQ529" t="str">
            <v>Energia Elétrica</v>
          </cell>
        </row>
        <row r="530">
          <cell r="A530" t="str">
            <v>CAIXA SEGURIDADE</v>
          </cell>
          <cell r="C530" t="str">
            <v>NM</v>
          </cell>
          <cell r="F530" t="str">
            <v>FOLLOW-ON</v>
          </cell>
          <cell r="J530">
            <v>45737</v>
          </cell>
          <cell r="M530" t="str">
            <v xml:space="preserve">Itaú BBA Assessoria Financeira S.A. </v>
          </cell>
          <cell r="W530">
            <v>14.75</v>
          </cell>
          <cell r="X530">
            <v>45735</v>
          </cell>
          <cell r="AO530">
            <v>0</v>
          </cell>
          <cell r="AP530">
            <v>1215118171.75</v>
          </cell>
          <cell r="AQ530">
            <v>1215118171.75</v>
          </cell>
          <cell r="BL530">
            <v>5479</v>
          </cell>
          <cell r="DZ530">
            <v>5726</v>
          </cell>
          <cell r="ED530">
            <v>212303340.91901809</v>
          </cell>
          <cell r="EF530">
            <v>7.8354758790973533E-2</v>
          </cell>
          <cell r="EH530">
            <v>0.63057635221312791</v>
          </cell>
          <cell r="EJ530">
            <v>0.28348217832501527</v>
          </cell>
          <cell r="EL530">
            <v>7.5867106708833567E-3</v>
          </cell>
          <cell r="EQ530" t="str">
            <v>Seguradoras</v>
          </cell>
        </row>
        <row r="531">
          <cell r="A531" t="str">
            <v>AZUL</v>
          </cell>
          <cell r="C531" t="str">
            <v>N2</v>
          </cell>
          <cell r="F531" t="str">
            <v>FOLLOW-ON</v>
          </cell>
          <cell r="J531">
            <v>45772</v>
          </cell>
          <cell r="M531" t="str">
            <v>UBS BB Corretora de Câmbio, Títulos e Valores Mobiliários S.A</v>
          </cell>
          <cell r="W531">
            <v>3.58</v>
          </cell>
          <cell r="X531">
            <v>45761</v>
          </cell>
          <cell r="AO531">
            <v>1661441659.4200001</v>
          </cell>
          <cell r="AP531">
            <v>0</v>
          </cell>
          <cell r="AQ531">
            <v>1661441659.4200001</v>
          </cell>
          <cell r="BL531">
            <v>68</v>
          </cell>
          <cell r="DZ531">
            <v>91</v>
          </cell>
          <cell r="ED531">
            <v>292286061.50625408</v>
          </cell>
          <cell r="EF531">
            <v>1.4611610261701714E-3</v>
          </cell>
          <cell r="EH531">
            <v>2.7329912574752306E-2</v>
          </cell>
          <cell r="EJ531">
            <v>1.9315225315346208E-5</v>
          </cell>
          <cell r="EL531">
            <v>0.97118961117376212</v>
          </cell>
          <cell r="EQ531" t="str">
            <v>Linhas Aéreas de Passageiros</v>
          </cell>
        </row>
        <row r="532">
          <cell r="C532" t="str">
            <v>NM</v>
          </cell>
          <cell r="F532" t="str">
            <v>FOLLOW-ON</v>
          </cell>
          <cell r="M532" t="str">
            <v>BTG Pactual Serviços Financeiros S.A DTVM</v>
          </cell>
          <cell r="AO532">
            <v>635082332.4000001</v>
          </cell>
          <cell r="AP532">
            <v>0</v>
          </cell>
          <cell r="AQ532">
            <v>635082332.4000001</v>
          </cell>
          <cell r="BL532">
            <v>70</v>
          </cell>
          <cell r="DZ532">
            <v>162</v>
          </cell>
          <cell r="ED532">
            <v>111248153.2397919</v>
          </cell>
          <cell r="EF532">
            <v>2.9066524225670617E-3</v>
          </cell>
          <cell r="EH532">
            <v>0.23596677651806142</v>
          </cell>
          <cell r="EJ532">
            <v>0.12669325140243815</v>
          </cell>
          <cell r="EL532">
            <v>0.63443331965693328</v>
          </cell>
          <cell r="EQ532" t="str">
            <v>Água e Saneamento</v>
          </cell>
        </row>
        <row r="533">
          <cell r="A533" t="str">
            <v>MELIUZ</v>
          </cell>
          <cell r="C533" t="str">
            <v>NM</v>
          </cell>
          <cell r="F533" t="str">
            <v>FOLLOW-ON</v>
          </cell>
          <cell r="M533" t="str">
            <v>BTG Pactual Investment Banking Ltda</v>
          </cell>
          <cell r="AO533">
            <v>180078029.17999998</v>
          </cell>
          <cell r="AP533">
            <v>0</v>
          </cell>
          <cell r="AQ533">
            <v>180078029.17999998</v>
          </cell>
          <cell r="BL533">
            <v>132</v>
          </cell>
          <cell r="DZ533">
            <v>239</v>
          </cell>
          <cell r="ED533">
            <v>32682037.963702358</v>
          </cell>
          <cell r="EF533">
            <v>4.3041732827120677E-2</v>
          </cell>
          <cell r="EH533">
            <v>0.75640486971260179</v>
          </cell>
          <cell r="EJ533">
            <v>0.17155148765605788</v>
          </cell>
          <cell r="EL533">
            <v>2.9001909804219683E-2</v>
          </cell>
          <cell r="EQ533" t="str">
            <v>Programas e Serviços</v>
          </cell>
        </row>
        <row r="534">
          <cell r="A534" t="str">
            <v>FRAS-LE</v>
          </cell>
          <cell r="C534" t="str">
            <v>N1</v>
          </cell>
          <cell r="F534" t="str">
            <v>FOLLOW-ON</v>
          </cell>
          <cell r="J534">
            <v>45852</v>
          </cell>
          <cell r="M534" t="str">
            <v>BTG Pactual Investment Banking Ltda.</v>
          </cell>
          <cell r="W534">
            <v>24</v>
          </cell>
          <cell r="X534">
            <v>45848</v>
          </cell>
          <cell r="AO534">
            <v>247649952</v>
          </cell>
          <cell r="AP534">
            <v>152350056</v>
          </cell>
          <cell r="AQ534">
            <v>400000008</v>
          </cell>
          <cell r="BL534">
            <v>50</v>
          </cell>
          <cell r="DZ534">
            <v>204</v>
          </cell>
          <cell r="ED534">
            <v>72727274.181818187</v>
          </cell>
          <cell r="EF534">
            <v>1.0424279791514404E-2</v>
          </cell>
          <cell r="EH534">
            <v>0.72896752542064946</v>
          </cell>
          <cell r="EJ534">
            <v>0.2605837147883257</v>
          </cell>
          <cell r="EL534">
            <v>2.4479999510400011E-5</v>
          </cell>
          <cell r="EQ534" t="str">
            <v>Material Rodoviário</v>
          </cell>
        </row>
        <row r="535">
          <cell r="A535" t="str">
            <v>GAFISA</v>
          </cell>
          <cell r="C535" t="str">
            <v>NM</v>
          </cell>
          <cell r="F535" t="str">
            <v>FOLLOW-ON</v>
          </cell>
          <cell r="J535">
            <v>45873</v>
          </cell>
          <cell r="M535" t="str">
            <v>Planner Corretora de Valores S/A</v>
          </cell>
          <cell r="W535">
            <v>20</v>
          </cell>
          <cell r="X535">
            <v>45852</v>
          </cell>
          <cell r="AO535">
            <v>88668720</v>
          </cell>
          <cell r="AP535">
            <v>0</v>
          </cell>
          <cell r="AQ535">
            <v>88668720</v>
          </cell>
          <cell r="BL535">
            <v>37</v>
          </cell>
          <cell r="DZ535">
            <v>48</v>
          </cell>
          <cell r="ED535">
            <v>16092326.67876588</v>
          </cell>
          <cell r="EF535">
            <v>0.10071691572856808</v>
          </cell>
          <cell r="EH535">
            <v>0.59838463891212146</v>
          </cell>
          <cell r="EJ535">
            <v>0.25351397877402537</v>
          </cell>
          <cell r="EL535">
            <v>4.7384466585285091E-2</v>
          </cell>
          <cell r="EQ535" t="str">
            <v>Incorporações</v>
          </cell>
        </row>
        <row r="536">
          <cell r="A536" t="str">
            <v>PAGUE MENOS</v>
          </cell>
          <cell r="C536" t="str">
            <v>NM</v>
          </cell>
          <cell r="F536" t="str">
            <v>FOLLOW-ON</v>
          </cell>
          <cell r="J536">
            <v>45932</v>
          </cell>
          <cell r="M536" t="str">
            <v xml:space="preserve">TAÚ BBA ASSESSORIA 
FINANCEIRA S.A. </v>
          </cell>
          <cell r="W536">
            <v>3.5</v>
          </cell>
          <cell r="X536">
            <v>45932</v>
          </cell>
          <cell r="AO536">
            <v>140000000</v>
          </cell>
          <cell r="AP536">
            <v>103478263</v>
          </cell>
          <cell r="AQ536">
            <v>243478263</v>
          </cell>
          <cell r="BL536">
            <v>56</v>
          </cell>
          <cell r="DZ536">
            <v>256</v>
          </cell>
          <cell r="ED536">
            <v>45595180.337078653</v>
          </cell>
          <cell r="EF536">
            <v>4.5057574605746218E-3</v>
          </cell>
          <cell r="EH536">
            <v>0.75745873462223612</v>
          </cell>
          <cell r="EJ536">
            <v>0.38797617223020847</v>
          </cell>
          <cell r="EL536">
            <v>5.9325624480900786E-5</v>
          </cell>
          <cell r="EQ536" t="str">
            <v>Medicamentos e Outros Produtos</v>
          </cell>
        </row>
        <row r="537">
          <cell r="A537" t="str">
            <v>COSAN</v>
          </cell>
          <cell r="C537" t="str">
            <v>NM</v>
          </cell>
          <cell r="F537" t="str">
            <v>FOLLOW-ON</v>
          </cell>
          <cell r="J537">
            <v>45966</v>
          </cell>
          <cell r="M537" t="str">
            <v>BTG PACTUAL INVESTMENT BANKING LTDA.</v>
          </cell>
          <cell r="W537">
            <v>5</v>
          </cell>
          <cell r="X537">
            <v>45964</v>
          </cell>
          <cell r="AO537">
            <v>9062500000</v>
          </cell>
          <cell r="AP537">
            <v>0</v>
          </cell>
          <cell r="AQ537">
            <v>9062500000</v>
          </cell>
          <cell r="BL537">
            <v>2719</v>
          </cell>
          <cell r="DZ537">
            <v>3042</v>
          </cell>
          <cell r="ED537">
            <v>1687616387.3370576</v>
          </cell>
          <cell r="EF537">
            <v>0.10004135172413793</v>
          </cell>
          <cell r="EH537">
            <v>6.4747669517241382E-2</v>
          </cell>
          <cell r="EJ537">
            <v>1.6603673931034481E-2</v>
          </cell>
          <cell r="EL537">
            <v>0.81860730482758626</v>
          </cell>
          <cell r="EQ537" t="str">
            <v>Exploração, Refino e Distribuição</v>
          </cell>
        </row>
        <row r="538">
          <cell r="A538" t="str">
            <v>COSAN</v>
          </cell>
          <cell r="C538" t="str">
            <v>NM</v>
          </cell>
          <cell r="F538" t="str">
            <v>FOLLOW-ON</v>
          </cell>
          <cell r="J538">
            <v>45974</v>
          </cell>
          <cell r="M538" t="str">
            <v>BTG Pactual Investment Banking Ltda</v>
          </cell>
          <cell r="W538">
            <v>5</v>
          </cell>
          <cell r="X538">
            <v>45964</v>
          </cell>
          <cell r="AO538">
            <v>1437500000</v>
          </cell>
          <cell r="AP538">
            <v>0</v>
          </cell>
          <cell r="AQ538">
            <v>1437500000</v>
          </cell>
          <cell r="BL538">
            <v>4730</v>
          </cell>
          <cell r="DZ538">
            <v>6030</v>
          </cell>
          <cell r="ED538">
            <v>272253787.87878788</v>
          </cell>
          <cell r="EF538">
            <v>6.87316347826087E-2</v>
          </cell>
          <cell r="EH538">
            <v>0.50568587478260874</v>
          </cell>
          <cell r="EJ538">
            <v>0.18222044173913043</v>
          </cell>
          <cell r="EL538">
            <v>0.24336204869565217</v>
          </cell>
          <cell r="EQ538" t="str">
            <v>Exploração, Refino e Distribuição</v>
          </cell>
        </row>
        <row r="539">
          <cell r="A539" t="str">
            <v>CURY S/A</v>
          </cell>
          <cell r="C539" t="str">
            <v>NM</v>
          </cell>
          <cell r="F539" t="str">
            <v>FOLLOW-ON</v>
          </cell>
          <cell r="J539">
            <v>46006</v>
          </cell>
          <cell r="M539" t="str">
            <v>e Itaú BBA Assessoria Financeira S.A.</v>
          </cell>
          <cell r="W539">
            <v>35.5</v>
          </cell>
          <cell r="X539">
            <v>46002</v>
          </cell>
          <cell r="AO539">
            <v>574123963</v>
          </cell>
          <cell r="AP539">
            <v>0</v>
          </cell>
          <cell r="AQ539">
            <v>574123963</v>
          </cell>
          <cell r="BL539">
            <v>25</v>
          </cell>
          <cell r="DZ539">
            <v>397</v>
          </cell>
          <cell r="ED539">
            <v>1959870175.2158456</v>
          </cell>
          <cell r="EF539">
            <v>5.3609502448167282E-5</v>
          </cell>
          <cell r="EH539">
            <v>0.55777978997194377</v>
          </cell>
          <cell r="EJ539">
            <v>0.44126519415111054</v>
          </cell>
          <cell r="EL539">
            <v>9.0140637449755774E-4</v>
          </cell>
          <cell r="EQ539" t="str">
            <v>Incorporações</v>
          </cell>
        </row>
        <row r="540">
          <cell r="A540" t="str">
            <v>AZUL</v>
          </cell>
          <cell r="C540" t="str">
            <v>N2</v>
          </cell>
          <cell r="F540" t="str">
            <v>FOLLOW-ON</v>
          </cell>
          <cell r="J540">
            <v>46030</v>
          </cell>
          <cell r="M540" t="str">
            <v>UBS BB CORRETORA DE CÂMBIO, TÍTULOS E VALORES MOBILIÁRIOS S.A.</v>
          </cell>
          <cell r="W540">
            <v>1.3527E-4</v>
          </cell>
          <cell r="X540">
            <v>46013</v>
          </cell>
          <cell r="AO540">
            <v>97916723.558518052</v>
          </cell>
          <cell r="AP540">
            <v>0</v>
          </cell>
          <cell r="AQ540">
            <v>97916723.558518052</v>
          </cell>
          <cell r="BL540">
            <v>0</v>
          </cell>
          <cell r="DZ540">
            <v>18</v>
          </cell>
          <cell r="ED540">
            <v>2232123963.0946336</v>
          </cell>
          <cell r="EF540">
            <v>0</v>
          </cell>
          <cell r="EH540">
            <v>0</v>
          </cell>
          <cell r="EJ540">
            <v>0</v>
          </cell>
          <cell r="EL540">
            <v>1</v>
          </cell>
          <cell r="EQ540" t="str">
            <v>Linhas Aéreas de Passageiros</v>
          </cell>
        </row>
        <row r="541">
          <cell r="A541" t="str">
            <v>AZUL</v>
          </cell>
          <cell r="C541" t="str">
            <v>N2</v>
          </cell>
          <cell r="F541" t="str">
            <v>FOLLOW-ON</v>
          </cell>
          <cell r="J541">
            <v>46030</v>
          </cell>
          <cell r="M541" t="str">
            <v>UBS BB CORRETORA DE CÂMBIO, TÍTULOS E VALORES MOBILIÁRIOS S.A.</v>
          </cell>
          <cell r="W541">
            <v>1.0145090000000001E-2</v>
          </cell>
          <cell r="X541">
            <v>46013</v>
          </cell>
          <cell r="AO541">
            <v>7343638449.0743399</v>
          </cell>
          <cell r="AP541">
            <v>0</v>
          </cell>
          <cell r="AQ541">
            <v>7343638449.0743399</v>
          </cell>
          <cell r="BL541">
            <v>1584</v>
          </cell>
          <cell r="DZ541">
            <v>2048</v>
          </cell>
          <cell r="ED541">
            <v>4191994138.3104792</v>
          </cell>
          <cell r="EF541">
            <v>6.7481846663824431E-3</v>
          </cell>
          <cell r="EH541">
            <v>2.3593745154466285E-3</v>
          </cell>
          <cell r="EJ541">
            <v>0</v>
          </cell>
          <cell r="EL541">
            <v>0.99083741646784362</v>
          </cell>
          <cell r="EQ541" t="str">
            <v>Linhas Aéreas de Passageiros</v>
          </cell>
        </row>
        <row r="542">
          <cell r="A542" t="str">
            <v>MOURA DUBEUX</v>
          </cell>
          <cell r="C542" t="str">
            <v>NM</v>
          </cell>
          <cell r="F542" t="str">
            <v>FOLLOW-ON</v>
          </cell>
          <cell r="J542">
            <v>46048</v>
          </cell>
          <cell r="M542" t="str">
            <v>Itaú BBA Assessoria Financeira S.A.</v>
          </cell>
          <cell r="W542">
            <v>25</v>
          </cell>
          <cell r="X542">
            <v>46044</v>
          </cell>
          <cell r="AO542">
            <v>241312725</v>
          </cell>
          <cell r="AP542">
            <v>0</v>
          </cell>
          <cell r="AQ542">
            <v>241312725</v>
          </cell>
          <cell r="BL542">
            <v>137</v>
          </cell>
          <cell r="DZ542">
            <v>382</v>
          </cell>
          <cell r="ED542">
            <v>6424118101.4051132</v>
          </cell>
          <cell r="EF542">
            <v>4.0389652038156504E-2</v>
          </cell>
          <cell r="EH542">
            <v>0.44886192549201842</v>
          </cell>
          <cell r="EJ542">
            <v>0.32673757016245358</v>
          </cell>
          <cell r="EL542">
            <v>0.18401085230737146</v>
          </cell>
          <cell r="EQ542" t="str">
            <v>Incorporações</v>
          </cell>
        </row>
        <row r="543">
          <cell r="A543" t="str">
            <v>AZUL</v>
          </cell>
          <cell r="C543" t="str">
            <v>N2</v>
          </cell>
          <cell r="F543" t="str">
            <v>FOLLOW-ON</v>
          </cell>
          <cell r="J543">
            <v>46076</v>
          </cell>
          <cell r="M543" t="str">
            <v xml:space="preserve">UBS BB CORRETORA DE CÂMBIO, TÍTULOS E
VALORES MOBILIÁRIOS S.A. </v>
          </cell>
          <cell r="W543">
            <v>1.09656646388772E-4</v>
          </cell>
          <cell r="X543">
            <v>46071</v>
          </cell>
          <cell r="AO543">
            <v>4986932910.065361</v>
          </cell>
          <cell r="AP543">
            <v>0</v>
          </cell>
          <cell r="AQ543">
            <v>4986932910.065361</v>
          </cell>
          <cell r="BL543">
            <v>648</v>
          </cell>
          <cell r="DZ543">
            <v>774</v>
          </cell>
          <cell r="ED543">
            <v>10616112239.715591</v>
          </cell>
          <cell r="EF543">
            <v>6.6526743278907188E-3</v>
          </cell>
          <cell r="EH543">
            <v>1.1733442716790857E-3</v>
          </cell>
          <cell r="EJ543">
            <v>0</v>
          </cell>
          <cell r="EL543">
            <v>0.99217398140043034</v>
          </cell>
          <cell r="EQ543" t="str">
            <v>Linhas Aéreas de Passageiros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909A-3616-4ED5-AF51-16461B8AA830}">
  <dimension ref="A1:X544"/>
  <sheetViews>
    <sheetView showGridLines="0" tabSelected="1" zoomScaleNormal="100" workbookViewId="0">
      <pane xSplit="2" ySplit="3" topLeftCell="H522" activePane="bottomRight" state="frozen"/>
      <selection activeCell="F268" sqref="F268"/>
      <selection pane="topRight" activeCell="F268" sqref="F268"/>
      <selection pane="bottomLeft" activeCell="F268" sqref="F268"/>
      <selection pane="bottomRight" activeCell="H536" sqref="H536"/>
    </sheetView>
  </sheetViews>
  <sheetFormatPr defaultColWidth="9.21875" defaultRowHeight="14.4" x14ac:dyDescent="0.3"/>
  <cols>
    <col min="1" max="1" width="3.77734375" style="1" customWidth="1"/>
    <col min="2" max="2" width="22.77734375" style="1" bestFit="1" customWidth="1"/>
    <col min="3" max="3" width="28.77734375" style="2" customWidth="1"/>
    <col min="4" max="4" width="48.44140625" style="2" customWidth="1"/>
    <col min="5" max="5" width="56.5546875" style="2" customWidth="1"/>
    <col min="6" max="6" width="20.77734375" style="2" bestFit="1" customWidth="1"/>
    <col min="7" max="7" width="25.5546875" style="2" bestFit="1" customWidth="1"/>
    <col min="8" max="9" width="17" style="2" customWidth="1"/>
    <col min="10" max="10" width="14.44140625" style="3" customWidth="1"/>
    <col min="11" max="11" width="15.21875" style="3" customWidth="1"/>
    <col min="12" max="12" width="16" style="4" customWidth="1"/>
    <col min="13" max="13" width="16.77734375" style="4" bestFit="1" customWidth="1"/>
    <col min="14" max="14" width="17.44140625" style="4" customWidth="1"/>
    <col min="15" max="15" width="16.77734375" style="4" bestFit="1" customWidth="1"/>
    <col min="16" max="16" width="15.77734375" style="5" customWidth="1"/>
    <col min="17" max="17" width="18.44140625" style="5" customWidth="1"/>
    <col min="18" max="18" width="19" style="5" customWidth="1"/>
    <col min="19" max="19" width="16.44140625" style="5" customWidth="1"/>
    <col min="20" max="20" width="17.21875" style="6" hidden="1" customWidth="1"/>
    <col min="21" max="21" width="0" style="1" hidden="1" customWidth="1"/>
    <col min="22" max="24" width="18.77734375" style="1" hidden="1" customWidth="1"/>
    <col min="25" max="16384" width="9.21875" style="1"/>
  </cols>
  <sheetData>
    <row r="1" spans="2:24" ht="15" thickBot="1" x14ac:dyDescent="0.35"/>
    <row r="2" spans="2:24" ht="13.8" thickTop="1" x14ac:dyDescent="0.25">
      <c r="B2" s="279" t="s">
        <v>0</v>
      </c>
      <c r="C2" s="280"/>
      <c r="D2" s="281"/>
      <c r="E2" s="7"/>
      <c r="F2" s="282" t="s">
        <v>1</v>
      </c>
      <c r="G2" s="282"/>
      <c r="H2" s="282"/>
      <c r="I2" s="282"/>
      <c r="J2" s="282"/>
      <c r="K2" s="283" t="s">
        <v>2</v>
      </c>
      <c r="L2" s="284"/>
      <c r="M2" s="284"/>
      <c r="N2" s="284"/>
      <c r="O2" s="285"/>
      <c r="P2" s="286" t="s">
        <v>3</v>
      </c>
      <c r="Q2" s="286"/>
      <c r="R2" s="286"/>
      <c r="S2" s="287"/>
      <c r="U2" s="288" t="s">
        <v>4</v>
      </c>
      <c r="V2" s="288"/>
      <c r="W2" s="288"/>
      <c r="X2" s="288"/>
    </row>
    <row r="3" spans="2:24" s="17" customFormat="1" ht="43.5" customHeight="1" x14ac:dyDescent="0.25"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10" t="s">
        <v>11</v>
      </c>
      <c r="I3" s="10" t="s">
        <v>12</v>
      </c>
      <c r="J3" s="10" t="s">
        <v>13</v>
      </c>
      <c r="K3" s="10" t="s">
        <v>14</v>
      </c>
      <c r="L3" s="11" t="s">
        <v>15</v>
      </c>
      <c r="M3" s="11" t="s">
        <v>16</v>
      </c>
      <c r="N3" s="11" t="s">
        <v>17</v>
      </c>
      <c r="O3" s="12" t="s">
        <v>4</v>
      </c>
      <c r="P3" s="13" t="s">
        <v>18</v>
      </c>
      <c r="Q3" s="14" t="s">
        <v>19</v>
      </c>
      <c r="R3" s="14" t="s">
        <v>20</v>
      </c>
      <c r="S3" s="15" t="s">
        <v>21</v>
      </c>
      <c r="T3" s="6"/>
      <c r="U3" s="16" t="s">
        <v>22</v>
      </c>
      <c r="V3" s="16" t="s">
        <v>23</v>
      </c>
      <c r="W3" s="16" t="s">
        <v>24</v>
      </c>
      <c r="X3" s="16" t="s">
        <v>25</v>
      </c>
    </row>
    <row r="4" spans="2:24" s="17" customFormat="1" ht="13.2" x14ac:dyDescent="0.25">
      <c r="B4" s="18" t="str">
        <f>[2]Base!A4</f>
        <v>CCR RODOVIAS</v>
      </c>
      <c r="C4" s="19" t="str">
        <f>[2]Base!C4</f>
        <v>NM</v>
      </c>
      <c r="D4" s="19" t="str">
        <f>[2]Base!EQ4</f>
        <v>Exploração de Rodovias</v>
      </c>
      <c r="E4" s="19" t="str">
        <f>[2]Base!M4</f>
        <v>UBS</v>
      </c>
      <c r="F4" s="19" t="str">
        <f>[2]Base!F4</f>
        <v>FOLLOW-ON</v>
      </c>
      <c r="G4" s="19" t="str">
        <f>[2]Base!G4</f>
        <v>ICVM 400</v>
      </c>
      <c r="H4" s="20">
        <f>[2]Base!X4</f>
        <v>38103</v>
      </c>
      <c r="I4" s="21">
        <f>[2]Base!W4</f>
        <v>23.5</v>
      </c>
      <c r="J4" s="22">
        <f>[2]Base!J4</f>
        <v>38104</v>
      </c>
      <c r="K4" s="23">
        <f>[2]Base!BL4</f>
        <v>1010</v>
      </c>
      <c r="L4" s="23">
        <f>[2]Base!DZ4</f>
        <v>1514</v>
      </c>
      <c r="M4" s="24">
        <f>[2]Base!AO4</f>
        <v>375000004.5</v>
      </c>
      <c r="N4" s="24">
        <f>[2]Base!AP4</f>
        <v>0</v>
      </c>
      <c r="O4" s="25">
        <f>[2]Base!AQ4</f>
        <v>375000004.5</v>
      </c>
      <c r="P4" s="26">
        <f>[2]Base!EF4</f>
        <v>6.8671824509271437E-2</v>
      </c>
      <c r="Q4" s="26">
        <f>[2]Base!EH4</f>
        <v>0.17572134189134389</v>
      </c>
      <c r="R4" s="26">
        <f>[2]Base!EJ4</f>
        <v>0.74824324968774769</v>
      </c>
      <c r="S4" s="27">
        <f>[2]Base!EL4</f>
        <v>7.3635839116369933E-3</v>
      </c>
      <c r="T4" s="6"/>
      <c r="U4" s="28">
        <v>2004</v>
      </c>
      <c r="V4" s="24">
        <f>SUMIFS($O$4:$O$235,$F$4:$F$235,"IPO",$J$4:$J$235,"&gt;=01/01/2004",$J$4:$J$235,"&lt;=31/12/2004")</f>
        <v>4487065024.3099995</v>
      </c>
      <c r="W4" s="24">
        <f>SUMIFS($O$4:$O$235,$F$4:$F$235,"FOLLOW-ON",$J$4:$J$235,"&gt;=01/01/2004",$J$4:$J$235,"&lt;=31/12/2004")</f>
        <v>4317579321.8213902</v>
      </c>
      <c r="X4" s="29">
        <f>SUMIFS($O$4:$O$235,$J$4:$J$235,"&gt;=01/01/2004",$J$4:$J$235,"&lt;=31/12/2004")</f>
        <v>8804644346.1313896</v>
      </c>
    </row>
    <row r="5" spans="2:24" ht="13.2" x14ac:dyDescent="0.25">
      <c r="B5" s="18" t="str">
        <f>[2]Base!A5</f>
        <v>NATURA</v>
      </c>
      <c r="C5" s="19" t="str">
        <f>[2]Base!C5</f>
        <v>NM</v>
      </c>
      <c r="D5" s="19" t="str">
        <f>[2]Base!EQ5</f>
        <v>Prod. de Uso Pessoal</v>
      </c>
      <c r="E5" s="19" t="str">
        <f>[2]Base!M5</f>
        <v>UBS</v>
      </c>
      <c r="F5" s="19" t="str">
        <f>[2]Base!F5</f>
        <v>IPO</v>
      </c>
      <c r="G5" s="19" t="str">
        <f>[2]Base!G5</f>
        <v>ICVM 400</v>
      </c>
      <c r="H5" s="20">
        <f>[2]Base!X5</f>
        <v>38131</v>
      </c>
      <c r="I5" s="21">
        <f>[2]Base!W5</f>
        <v>36.5</v>
      </c>
      <c r="J5" s="22">
        <f>[2]Base!J5</f>
        <v>38133</v>
      </c>
      <c r="K5" s="23">
        <f>[2]Base!BL5</f>
        <v>4376</v>
      </c>
      <c r="L5" s="23">
        <f>[2]Base!DZ5</f>
        <v>5460</v>
      </c>
      <c r="M5" s="24">
        <f>[2]Base!AO5</f>
        <v>0</v>
      </c>
      <c r="N5" s="24">
        <f>[2]Base!AP5</f>
        <v>768120636.5</v>
      </c>
      <c r="O5" s="25">
        <f>[2]Base!AQ5</f>
        <v>768120636.5</v>
      </c>
      <c r="P5" s="26">
        <f>[2]Base!EF5</f>
        <v>0.14086611445961328</v>
      </c>
      <c r="Q5" s="26">
        <f>[2]Base!EH5</f>
        <v>0.15132485833167691</v>
      </c>
      <c r="R5" s="26">
        <f>[2]Base!EJ5</f>
        <v>0.67230899088075735</v>
      </c>
      <c r="S5" s="27">
        <f>[2]Base!EL5</f>
        <v>3.5500036327952504E-2</v>
      </c>
      <c r="U5" s="28">
        <v>2005</v>
      </c>
      <c r="V5" s="24">
        <f>SUMIFS($O$4:$O$235,$F$4:$F$235,"IPO",$J$4:$J$235,"&gt;=01/01/2005",$J$4:$J$235,"&lt;=31/12/2005")</f>
        <v>5447335659.5</v>
      </c>
      <c r="W5" s="24">
        <f>SUMIFS($O$4:$O$235,$F$4:$F$235,"FOLLOW-ON",$J$4:$J$235,"&gt;=01/01/2005",$J$4:$J$235,"&lt;=31/12/2005")</f>
        <v>8488868795.0285006</v>
      </c>
      <c r="X5" s="29">
        <f>SUMIFS($O$4:$O$235,$J$4:$J$235,"&gt;=01/01/2005",$J$4:$J$235,"&lt;=31/12/2005")</f>
        <v>13936204454.5285</v>
      </c>
    </row>
    <row r="6" spans="2:24" ht="13.2" x14ac:dyDescent="0.25">
      <c r="B6" s="18" t="str">
        <f>[2]Base!A6</f>
        <v>GOL</v>
      </c>
      <c r="C6" s="19" t="str">
        <f>[2]Base!C6</f>
        <v>N2</v>
      </c>
      <c r="D6" s="19" t="str">
        <f>[2]Base!EQ6</f>
        <v>Transporte Aéreo</v>
      </c>
      <c r="E6" s="19" t="str">
        <f>[2]Base!M6</f>
        <v>Morgan Stanley</v>
      </c>
      <c r="F6" s="19" t="str">
        <f>[2]Base!F6</f>
        <v>IPO</v>
      </c>
      <c r="G6" s="19" t="str">
        <f>[2]Base!G6</f>
        <v>ICVM 400</v>
      </c>
      <c r="H6" s="20">
        <f>[2]Base!X6</f>
        <v>38161</v>
      </c>
      <c r="I6" s="21">
        <f>[2]Base!W6</f>
        <v>26.57</v>
      </c>
      <c r="J6" s="22">
        <f>[2]Base!J6</f>
        <v>38162</v>
      </c>
      <c r="K6" s="23">
        <f>[2]Base!BL6</f>
        <v>11274</v>
      </c>
      <c r="L6" s="23">
        <f>[2]Base!DZ6</f>
        <v>12380</v>
      </c>
      <c r="M6" s="24">
        <f>[2]Base!AO6</f>
        <v>498187500</v>
      </c>
      <c r="N6" s="24">
        <f>[2]Base!AP6</f>
        <v>379951000</v>
      </c>
      <c r="O6" s="25">
        <f>[2]Base!AQ6</f>
        <v>878138500</v>
      </c>
      <c r="P6" s="26">
        <f>[2]Base!EF6</f>
        <v>0.10416096822995462</v>
      </c>
      <c r="Q6" s="26">
        <f>[2]Base!EH6</f>
        <v>0.13028732223903178</v>
      </c>
      <c r="R6" s="26">
        <f>[2]Base!EJ6</f>
        <v>0.75367177004538577</v>
      </c>
      <c r="S6" s="27">
        <f>[2]Base!EL6</f>
        <v>1.1879939485627837E-2</v>
      </c>
      <c r="U6" s="28">
        <v>2006</v>
      </c>
      <c r="V6" s="24">
        <f>SUMIFS($O$4:$O$235,$F$4:$F$235,"IPO",$J$4:$J$235,"&gt;=01/01/2006",$J$4:$J$235,"&lt;=31/12/2006")</f>
        <v>15373613634.299999</v>
      </c>
      <c r="W6" s="24">
        <f>SUMIFS($O$4:$O$235,$F$4:$F$235,"FOLLOW-ON",$J$4:$J$235,"&gt;=01/01/2006",$J$4:$J$235,"&lt;=31/12/2006")</f>
        <v>15062683257.9795</v>
      </c>
      <c r="X6" s="29">
        <f>SUMIFS($O$4:$O$235,$J$4:$J$235,"&gt;=01/01/2006",$J$4:$J$235,"&lt;=31/12/2006")</f>
        <v>30436296892.279499</v>
      </c>
    </row>
    <row r="7" spans="2:24" ht="13.2" x14ac:dyDescent="0.25">
      <c r="B7" s="18" t="str">
        <f>[2]Base!A7</f>
        <v>ALL AMER LAT</v>
      </c>
      <c r="C7" s="19" t="str">
        <f>[2]Base!C7</f>
        <v>N2</v>
      </c>
      <c r="D7" s="19" t="str">
        <f>[2]Base!EQ7</f>
        <v>Transporte Ferroviário</v>
      </c>
      <c r="E7" s="19" t="str">
        <f>[2]Base!M7</f>
        <v>Pactual</v>
      </c>
      <c r="F7" s="19" t="str">
        <f>[2]Base!F7</f>
        <v>IPO</v>
      </c>
      <c r="G7" s="19" t="str">
        <f>[2]Base!G7</f>
        <v>ICVM 400</v>
      </c>
      <c r="H7" s="20">
        <f>[2]Base!X7</f>
        <v>38161</v>
      </c>
      <c r="I7" s="21">
        <f>[2]Base!W7</f>
        <v>46.5</v>
      </c>
      <c r="J7" s="22">
        <f>[2]Base!J7</f>
        <v>38163</v>
      </c>
      <c r="K7" s="23">
        <f>[2]Base!BL7</f>
        <v>3275</v>
      </c>
      <c r="L7" s="23">
        <f>[2]Base!DZ7</f>
        <v>4198</v>
      </c>
      <c r="M7" s="24">
        <f>[2]Base!AO7</f>
        <v>267375000</v>
      </c>
      <c r="N7" s="24">
        <f>[2]Base!AP7</f>
        <v>320850000</v>
      </c>
      <c r="O7" s="25">
        <f>[2]Base!AQ7</f>
        <v>588225000</v>
      </c>
      <c r="P7" s="26">
        <f>[2]Base!EF7</f>
        <v>8.1711383399209483E-2</v>
      </c>
      <c r="Q7" s="26">
        <f>[2]Base!EH7</f>
        <v>0.19502276679841898</v>
      </c>
      <c r="R7" s="26">
        <f>[2]Base!EJ7</f>
        <v>0.70870671936758889</v>
      </c>
      <c r="S7" s="27">
        <f>[2]Base!EL7</f>
        <v>1.4559130434782609E-2</v>
      </c>
      <c r="U7" s="28">
        <v>2007</v>
      </c>
      <c r="V7" s="24">
        <f>SUMIFS($O$4:$O$235,$F$4:$F$235,"IPO",$J$4:$J$235,"&gt;=01/01/2007",$J$4:$J$235,"&lt;=31/12/2007")</f>
        <v>55648186084.869995</v>
      </c>
      <c r="W7" s="24">
        <f>SUMIFS($O$4:$O$235,$F$4:$F$235,"FOLLOW-ON",$J$4:$J$235,"&gt;=01/01/2007",$J$4:$J$235,"&lt;=31/12/2007")</f>
        <v>14464732432.85</v>
      </c>
      <c r="X7" s="29">
        <f>SUMIFS($O$4:$O$235,$J$4:$J$235,"&gt;=01/01/2007",$J$4:$J$235,"&lt;=31/12/2007")</f>
        <v>70112918517.720001</v>
      </c>
    </row>
    <row r="8" spans="2:24" ht="13.2" x14ac:dyDescent="0.25">
      <c r="B8" s="18" t="str">
        <f>[2]Base!A8</f>
        <v>WEG</v>
      </c>
      <c r="C8" s="19" t="str">
        <f>[2]Base!C8</f>
        <v>N1</v>
      </c>
      <c r="D8" s="19" t="str">
        <f>[2]Base!EQ8</f>
        <v>Motores, Compressores e Outros</v>
      </c>
      <c r="E8" s="19" t="str">
        <f>[2]Base!M8</f>
        <v>Bradesco BBI</v>
      </c>
      <c r="F8" s="19" t="str">
        <f>[2]Base!F8</f>
        <v>FOLLOW-ON</v>
      </c>
      <c r="G8" s="19" t="str">
        <f>[2]Base!G8</f>
        <v>ICVM 400</v>
      </c>
      <c r="H8" s="20">
        <f>[2]Base!X8</f>
        <v>38233</v>
      </c>
      <c r="I8" s="21">
        <f>[2]Base!W8</f>
        <v>7.2</v>
      </c>
      <c r="J8" s="22">
        <f>[2]Base!J8</f>
        <v>38236</v>
      </c>
      <c r="K8" s="23">
        <f>[2]Base!BL8</f>
        <v>5130</v>
      </c>
      <c r="L8" s="23">
        <f>[2]Base!DZ8</f>
        <v>5708</v>
      </c>
      <c r="M8" s="24">
        <f>[2]Base!AO8</f>
        <v>0</v>
      </c>
      <c r="N8" s="24">
        <f>[2]Base!AP8</f>
        <v>319384800</v>
      </c>
      <c r="O8" s="25">
        <f>[2]Base!AQ8</f>
        <v>319384800</v>
      </c>
      <c r="P8" s="26">
        <f>[2]Base!EF8</f>
        <v>0.30075378164521294</v>
      </c>
      <c r="Q8" s="26">
        <f>[2]Base!EH8</f>
        <v>0.23810974097702833</v>
      </c>
      <c r="R8" s="26">
        <f>[2]Base!EJ8</f>
        <v>0.40659325052413264</v>
      </c>
      <c r="S8" s="27">
        <f>[2]Base!EL8</f>
        <v>5.4543226853626101E-2</v>
      </c>
      <c r="U8" s="28">
        <v>2008</v>
      </c>
      <c r="V8" s="24">
        <f>SUMIFS($O$4:$O$235,$F$4:$F$235,"IPO",$J$4:$J$235,"&gt;=01/01/2008",$J$4:$J$235,"&lt;=31/12/2008")</f>
        <v>7494941362</v>
      </c>
      <c r="W8" s="24">
        <f>SUMIFS($O$4:$O$235,$F$4:$F$235,"FOLLOW-ON",$J$4:$J$235,"&gt;=01/01/2008",$J$4:$J$235,"&lt;=31/12/2008")</f>
        <v>26760549835.43</v>
      </c>
      <c r="X8" s="29">
        <f>SUMIFS($O$4:$O$235,$J$4:$J$235,"&gt;=01/01/2008",$J$4:$J$235,"&lt;=31/12/2008")</f>
        <v>34255491197.43</v>
      </c>
    </row>
    <row r="9" spans="2:24" ht="13.2" x14ac:dyDescent="0.25">
      <c r="B9" s="18" t="str">
        <f>[2]Base!A9</f>
        <v>BRASKEM</v>
      </c>
      <c r="C9" s="19" t="str">
        <f>[2]Base!C9</f>
        <v>N1</v>
      </c>
      <c r="D9" s="19" t="str">
        <f>[2]Base!EQ9</f>
        <v>Petroquímicos</v>
      </c>
      <c r="E9" s="19" t="str">
        <f>[2]Base!M9</f>
        <v>Unibanco</v>
      </c>
      <c r="F9" s="19" t="str">
        <f>[2]Base!F9</f>
        <v>FOLLOW-ON</v>
      </c>
      <c r="G9" s="19" t="str">
        <f>[2]Base!G9</f>
        <v>ICVM 400</v>
      </c>
      <c r="H9" s="20">
        <f>[2]Base!X9</f>
        <v>38252</v>
      </c>
      <c r="I9" s="21">
        <f>[2]Base!W9</f>
        <v>0.09</v>
      </c>
      <c r="J9" s="22">
        <f>[2]Base!J9</f>
        <v>38254</v>
      </c>
      <c r="K9" s="23">
        <f>[2]Base!BL9</f>
        <v>2287</v>
      </c>
      <c r="L9" s="23">
        <f>[2]Base!DZ9</f>
        <v>2737</v>
      </c>
      <c r="M9" s="24">
        <f>[2]Base!AO9</f>
        <v>1210950000</v>
      </c>
      <c r="N9" s="24">
        <f>[2]Base!AP9</f>
        <v>0</v>
      </c>
      <c r="O9" s="25">
        <f>[2]Base!AQ9</f>
        <v>1210950000</v>
      </c>
      <c r="P9" s="26">
        <f>[2]Base!EF9</f>
        <v>5.2678683013820775E-2</v>
      </c>
      <c r="Q9" s="26">
        <f>[2]Base!EH9</f>
        <v>0.20504084499925693</v>
      </c>
      <c r="R9" s="26">
        <f>[2]Base!EJ9</f>
        <v>0.73642744776341207</v>
      </c>
      <c r="S9" s="27">
        <f>[2]Base!EL9</f>
        <v>5.8530242235101801E-3</v>
      </c>
      <c r="U9" s="28">
        <v>2009</v>
      </c>
      <c r="V9" s="24">
        <f>SUMIFS($O$4:$O$235,$F$4:$F$235,"IPO",$J$4:$J$235,"&gt;=01/01/2009",$J$4:$J$235,"&lt;=31/12/2009")</f>
        <v>23831458391</v>
      </c>
      <c r="W9" s="24">
        <f>SUMIFS($O$4:$O$235,$F$4:$F$235,"FOLLOW-ON",$J$4:$J$235,"&gt;=01/01/2009",$J$4:$J$235,"&lt;=31/12/2009")</f>
        <v>22151816326.5</v>
      </c>
      <c r="X9" s="29">
        <f>SUMIFS($O$4:$O$235,$J$4:$J$235,"&gt;=01/01/2009",$J$4:$J$235,"&lt;=31/12/2009")</f>
        <v>45983274717.5</v>
      </c>
    </row>
    <row r="10" spans="2:24" ht="13.2" x14ac:dyDescent="0.25">
      <c r="B10" s="18" t="str">
        <f>[2]Base!A10</f>
        <v>CPFL ENERGIA</v>
      </c>
      <c r="C10" s="19" t="str">
        <f>[2]Base!C10</f>
        <v>NM</v>
      </c>
      <c r="D10" s="19" t="str">
        <f>[2]Base!EQ10</f>
        <v>Energia Elétrica</v>
      </c>
      <c r="E10" s="19" t="str">
        <f>[2]Base!M10</f>
        <v>Merrill Lynch</v>
      </c>
      <c r="F10" s="19" t="str">
        <f>[2]Base!F10</f>
        <v>IPO</v>
      </c>
      <c r="G10" s="19" t="str">
        <f>[2]Base!G10</f>
        <v>ICVM 400</v>
      </c>
      <c r="H10" s="20">
        <f>[2]Base!X10</f>
        <v>38258</v>
      </c>
      <c r="I10" s="21">
        <f>[2]Base!W10</f>
        <v>17.22</v>
      </c>
      <c r="J10" s="22">
        <f>[2]Base!J10</f>
        <v>38259</v>
      </c>
      <c r="K10" s="23">
        <f>[2]Base!BL10</f>
        <v>2661</v>
      </c>
      <c r="L10" s="23">
        <f>[2]Base!DZ10</f>
        <v>3271</v>
      </c>
      <c r="M10" s="24">
        <f>[2]Base!AO10</f>
        <v>684649515.05999994</v>
      </c>
      <c r="N10" s="24">
        <f>[2]Base!AP10</f>
        <v>136312659</v>
      </c>
      <c r="O10" s="25">
        <f>[2]Base!AQ10</f>
        <v>820962174.05999994</v>
      </c>
      <c r="P10" s="26">
        <f>[2]Base!EF10</f>
        <v>7.2085297337554172E-2</v>
      </c>
      <c r="Q10" s="26">
        <f>[2]Base!EH10</f>
        <v>0.22446591051652037</v>
      </c>
      <c r="R10" s="26">
        <f>[2]Base!EJ10</f>
        <v>0.69388879768091083</v>
      </c>
      <c r="S10" s="27">
        <f>[2]Base!EL10</f>
        <v>9.5599944650146575E-3</v>
      </c>
      <c r="U10" s="28">
        <v>2010</v>
      </c>
      <c r="V10" s="24">
        <f>SUMIFS($O$4:$O$235,$F$4:$F$235,"IPO",$J$4:$J$235,"&gt;=01/01/2010",$J$4:$J$235,"&lt;=31/12/2010")</f>
        <v>11193373737.5</v>
      </c>
      <c r="W10" s="24">
        <f>SUMIFS($O$4:$O$235,$F$4:$F$235,"FOLLOW-ON",$J$4:$J$235,"&gt;=01/01/2010",$J$4:$J$235,"&lt;=31/12/2010")</f>
        <v>138047959151.79999</v>
      </c>
      <c r="X10" s="29">
        <f>SUMIFS($O$4:$O$235,$J$4:$J$235,"&gt;=01/01/2010",$J$4:$J$235,"&lt;=31/12/2010")</f>
        <v>149241332889.29999</v>
      </c>
    </row>
    <row r="11" spans="2:24" ht="13.2" x14ac:dyDescent="0.25">
      <c r="B11" s="18" t="str">
        <f>[2]Base!A11</f>
        <v>GRENDENE</v>
      </c>
      <c r="C11" s="19" t="str">
        <f>[2]Base!C11</f>
        <v>NM</v>
      </c>
      <c r="D11" s="19" t="str">
        <f>[2]Base!EQ11</f>
        <v>Calçados</v>
      </c>
      <c r="E11" s="19" t="str">
        <f>[2]Base!M11</f>
        <v>Pactual</v>
      </c>
      <c r="F11" s="19" t="str">
        <f>[2]Base!F11</f>
        <v>IPO</v>
      </c>
      <c r="G11" s="19" t="str">
        <f>[2]Base!G11</f>
        <v>ICVM 400</v>
      </c>
      <c r="H11" s="20">
        <f>[2]Base!X11</f>
        <v>38287</v>
      </c>
      <c r="I11" s="21">
        <f>[2]Base!W11</f>
        <v>31</v>
      </c>
      <c r="J11" s="22">
        <f>[2]Base!J11</f>
        <v>38289</v>
      </c>
      <c r="K11" s="23">
        <f>[2]Base!BL11</f>
        <v>7745</v>
      </c>
      <c r="L11" s="23">
        <f>[2]Base!DZ11</f>
        <v>8998</v>
      </c>
      <c r="M11" s="24">
        <f>[2]Base!AO11</f>
        <v>0</v>
      </c>
      <c r="N11" s="24">
        <f>[2]Base!AP11</f>
        <v>616900000</v>
      </c>
      <c r="O11" s="25">
        <f>[2]Base!AQ11</f>
        <v>616900000</v>
      </c>
      <c r="P11" s="26">
        <f>[2]Base!EF11</f>
        <v>0.16245688442211056</v>
      </c>
      <c r="Q11" s="26">
        <f>[2]Base!EH11</f>
        <v>0.18904427135678392</v>
      </c>
      <c r="R11" s="26">
        <f>[2]Base!EJ11</f>
        <v>0.63814226130653262</v>
      </c>
      <c r="S11" s="27">
        <f>[2]Base!EL11</f>
        <v>1.0356582914572865E-2</v>
      </c>
      <c r="U11" s="28">
        <v>2011</v>
      </c>
      <c r="V11" s="24">
        <f>SUMIFS($O$4:$O$235,$F$4:$F$235,"IPO",$J$4:$J$235,"&gt;=01/01/2011",$J$4:$J$235,"&lt;=31/12/2011")</f>
        <v>7175095457</v>
      </c>
      <c r="W11" s="24">
        <f>SUMIFS($O$4:$O$235,$F$4:$F$235,"FOLLOW-ON",$J$4:$J$235,"&gt;=01/01/2011",$J$4:$J$235,"&lt;=31/12/2011")</f>
        <v>10814789923.299999</v>
      </c>
      <c r="X11" s="29">
        <f>SUMIFS($O$4:$O$235,$J$4:$J$235,"&gt;=01/01/2011",$J$4:$J$235,"&lt;=31/12/2011")</f>
        <v>17989885380.299999</v>
      </c>
    </row>
    <row r="12" spans="2:24" ht="13.2" x14ac:dyDescent="0.25">
      <c r="B12" s="18" t="str">
        <f>[2]Base!A12</f>
        <v>SABESP</v>
      </c>
      <c r="C12" s="19" t="str">
        <f>[2]Base!C12</f>
        <v>NM</v>
      </c>
      <c r="D12" s="19" t="str">
        <f>[2]Base!EQ12</f>
        <v>Água e Saneamento</v>
      </c>
      <c r="E12" s="19" t="str">
        <f>[2]Base!M12</f>
        <v>Unibanco</v>
      </c>
      <c r="F12" s="19" t="str">
        <f>[2]Base!F12</f>
        <v>FOLLOW-ON</v>
      </c>
      <c r="G12" s="19" t="str">
        <f>[2]Base!G12</f>
        <v>ICVM 400</v>
      </c>
      <c r="H12" s="20">
        <f>[2]Base!X12</f>
        <v>38288</v>
      </c>
      <c r="I12" s="21">
        <f>[2]Base!W12</f>
        <v>0.11347</v>
      </c>
      <c r="J12" s="22">
        <f>[2]Base!J12</f>
        <v>38289</v>
      </c>
      <c r="K12" s="23">
        <f>[2]Base!BL12</f>
        <v>89</v>
      </c>
      <c r="L12" s="23">
        <f>[2]Base!DZ12</f>
        <v>361</v>
      </c>
      <c r="M12" s="24">
        <f>[2]Base!AO12</f>
        <v>0</v>
      </c>
      <c r="N12" s="24">
        <f>[2]Base!AP12</f>
        <v>687986984.99139011</v>
      </c>
      <c r="O12" s="25">
        <f>[2]Base!AQ12</f>
        <v>687986984.99139011</v>
      </c>
      <c r="P12" s="26">
        <f>[2]Base!EF12</f>
        <v>1.1300088586105003E-2</v>
      </c>
      <c r="Q12" s="26">
        <f>[2]Base!EH12</f>
        <v>0.17209472464070194</v>
      </c>
      <c r="R12" s="26">
        <f>[2]Base!EJ12</f>
        <v>0.81335375308152524</v>
      </c>
      <c r="S12" s="27">
        <f>[2]Base!EL12</f>
        <v>3.251433691667866E-3</v>
      </c>
      <c r="U12" s="28">
        <v>2012</v>
      </c>
      <c r="V12" s="24">
        <f>SUMIFS($O$4:$O$1531,$F$4:$F$1531,"IPO",$J$4:$J$1531,"&gt;=01/01/2012",$J$4:$J$1531,"&lt;=31/12/2012")</f>
        <v>3932950736</v>
      </c>
      <c r="W12" s="24">
        <f>SUMIFS($O$4:$O$1531,$F$4:$F$1531,"FOLLOW-ON",$J$4:$J$1531,"&gt;=01/01/2012",$J$4:$J$1531,"&lt;=31/12/2012")</f>
        <v>9307533492</v>
      </c>
      <c r="X12" s="29">
        <f>SUMIFS($O$4:$O$1531,$J$4:$J$1531,"&gt;=01/01/2012",$J$4:$J$1531,"&lt;=31/12/2012")</f>
        <v>13240484228</v>
      </c>
    </row>
    <row r="13" spans="2:24" ht="13.2" x14ac:dyDescent="0.25">
      <c r="B13" s="18" t="str">
        <f>[2]Base!A13</f>
        <v>DASA</v>
      </c>
      <c r="C13" s="19" t="str">
        <f>[2]Base!C13</f>
        <v>NM</v>
      </c>
      <c r="D13" s="19" t="str">
        <f>[2]Base!EQ13</f>
        <v>Serv. Méd. Hospit., Análises e Diagnósticos</v>
      </c>
      <c r="E13" s="19" t="str">
        <f>[2]Base!M13</f>
        <v>UBS</v>
      </c>
      <c r="F13" s="19" t="str">
        <f>[2]Base!F13</f>
        <v>IPO</v>
      </c>
      <c r="G13" s="19" t="str">
        <f>[2]Base!G13</f>
        <v>ICVM 400</v>
      </c>
      <c r="H13" s="20">
        <f>[2]Base!X13</f>
        <v>38308</v>
      </c>
      <c r="I13" s="21">
        <f>[2]Base!W13</f>
        <v>20</v>
      </c>
      <c r="J13" s="22">
        <f>[2]Base!J13</f>
        <v>38310</v>
      </c>
      <c r="K13" s="23">
        <f>[2]Base!BL13</f>
        <v>2815</v>
      </c>
      <c r="L13" s="23">
        <f>[2]Base!DZ13</f>
        <v>3482</v>
      </c>
      <c r="M13" s="24">
        <f>[2]Base!AO13</f>
        <v>126136300</v>
      </c>
      <c r="N13" s="24">
        <f>[2]Base!AP13</f>
        <v>311247720</v>
      </c>
      <c r="O13" s="25">
        <f>[2]Base!AQ13</f>
        <v>437384020</v>
      </c>
      <c r="P13" s="26">
        <f>[2]Base!EF13</f>
        <v>8.7210273480041636E-2</v>
      </c>
      <c r="Q13" s="26">
        <f>[2]Base!EH13</f>
        <v>0.22275427437883991</v>
      </c>
      <c r="R13" s="26">
        <f>[2]Base!EJ13</f>
        <v>0.68241784416357965</v>
      </c>
      <c r="S13" s="27">
        <f>[2]Base!EL13</f>
        <v>7.6176079775388227E-3</v>
      </c>
      <c r="U13" s="28">
        <v>2013</v>
      </c>
      <c r="V13" s="24">
        <f>SUMIFS($O$4:$O$1531,$F$4:$F$1531,"IPO",$J$4:$J$1531,"&gt;=01/01/2013",$J$4:$J$1531,"&lt;=31/12/2013")</f>
        <v>17293349990.309998</v>
      </c>
      <c r="W13" s="24">
        <f>SUMIFS($O$4:$O$1531,$F$4:$F$1531,"FOLLOW-ON",$J$4:$J$1531,"&gt;=01/01/2013",$J$4:$J$1531,"&lt;=31/12/2013")</f>
        <v>6066116253</v>
      </c>
      <c r="X13" s="29">
        <f>SUMIFS($O$4:$O$1531,$J$4:$J$1531,"&gt;=01/01/2013",$J$4:$J$1531,"&lt;=31/12/2013")</f>
        <v>23359466243.310001</v>
      </c>
    </row>
    <row r="14" spans="2:24" ht="13.2" x14ac:dyDescent="0.25">
      <c r="B14" s="18" t="str">
        <f>[2]Base!A14</f>
        <v>PORTO SEGURO</v>
      </c>
      <c r="C14" s="19" t="str">
        <f>[2]Base!C14</f>
        <v>NM</v>
      </c>
      <c r="D14" s="19" t="str">
        <f>[2]Base!EQ14</f>
        <v>Seguradoras</v>
      </c>
      <c r="E14" s="19" t="str">
        <f>[2]Base!M14</f>
        <v>Pactual</v>
      </c>
      <c r="F14" s="19" t="str">
        <f>[2]Base!F14</f>
        <v>IPO</v>
      </c>
      <c r="G14" s="19" t="str">
        <f>[2]Base!G14</f>
        <v>ICVM 400</v>
      </c>
      <c r="H14" s="20">
        <f>[2]Base!X14</f>
        <v>38309</v>
      </c>
      <c r="I14" s="21">
        <f>[2]Base!W14</f>
        <v>18.75</v>
      </c>
      <c r="J14" s="22">
        <f>[2]Base!J14</f>
        <v>38313</v>
      </c>
      <c r="K14" s="23">
        <f>[2]Base!BL14</f>
        <v>5757</v>
      </c>
      <c r="L14" s="23">
        <f>[2]Base!DZ14</f>
        <v>6499</v>
      </c>
      <c r="M14" s="24">
        <f>[2]Base!AO14</f>
        <v>129022800</v>
      </c>
      <c r="N14" s="24">
        <f>[2]Base!AP14</f>
        <v>248311893.75</v>
      </c>
      <c r="O14" s="25">
        <f>[2]Base!AQ14</f>
        <v>377334693.75</v>
      </c>
      <c r="P14" s="26">
        <f>[2]Base!EF14</f>
        <v>7.9173726256386676E-2</v>
      </c>
      <c r="Q14" s="26">
        <f>[2]Base!EH14</f>
        <v>0.18708473848092852</v>
      </c>
      <c r="R14" s="26">
        <f>[2]Base!EJ14</f>
        <v>0.7137786710607763</v>
      </c>
      <c r="S14" s="27">
        <f>[2]Base!EL14</f>
        <v>1.9962864201908549E-2</v>
      </c>
      <c r="U14" s="28">
        <v>2014</v>
      </c>
      <c r="V14" s="24">
        <f>SUMIFS($O$4:$O$1531,$F$4:$F$1531,"IPO",$J$4:$J$1531,"&gt;=01/01/2014",$J$4:$J$1531,"&lt;=31/12/2014")</f>
        <v>417980763</v>
      </c>
      <c r="W14" s="24">
        <f>SUMIFS($O$4:$O$1531,$F$4:$F$1531,"FOLLOW-ON",$J$4:$J$1531,"&gt;=01/01/2014",$J$4:$J$1531,"&lt;=31/12/2014")</f>
        <v>13959899998.896816</v>
      </c>
      <c r="X14" s="29">
        <f>SUMIFS($O$4:$O$1531,$J$4:$J$1531,"&gt;=01/01/2014",$J$4:$J$1531,"&lt;=31/12/2014")</f>
        <v>14377880761.896816</v>
      </c>
    </row>
    <row r="15" spans="2:24" ht="13.2" x14ac:dyDescent="0.25">
      <c r="B15" s="18" t="str">
        <f>[2]Base!A15</f>
        <v>GERDAU</v>
      </c>
      <c r="C15" s="19" t="str">
        <f>[2]Base!C15</f>
        <v>N1</v>
      </c>
      <c r="D15" s="19" t="str">
        <f>[2]Base!EQ15</f>
        <v>Siderurgia</v>
      </c>
      <c r="E15" s="19" t="str">
        <f>[2]Base!M15</f>
        <v>Pactual</v>
      </c>
      <c r="F15" s="19" t="str">
        <f>[2]Base!F15</f>
        <v>FOLLOW-ON</v>
      </c>
      <c r="G15" s="19" t="str">
        <f>[2]Base!G15</f>
        <v>ICVM 400</v>
      </c>
      <c r="H15" s="20">
        <f>[2]Base!X15</f>
        <v>38330</v>
      </c>
      <c r="I15" s="21">
        <f>[2]Base!W15</f>
        <v>40.00111342111633</v>
      </c>
      <c r="J15" s="22">
        <f>[2]Base!J15</f>
        <v>38330</v>
      </c>
      <c r="K15" s="23">
        <f>[2]Base!BL15</f>
        <v>169</v>
      </c>
      <c r="L15" s="23">
        <f>[2]Base!DZ15</f>
        <v>250</v>
      </c>
      <c r="M15" s="24">
        <f>[2]Base!AO15</f>
        <v>0</v>
      </c>
      <c r="N15" s="24">
        <f>[2]Base!AP15</f>
        <v>412805170.32999998</v>
      </c>
      <c r="O15" s="25">
        <f>[2]Base!AQ15</f>
        <v>412805170.32999998</v>
      </c>
      <c r="P15" s="26">
        <f>[2]Base!EF15</f>
        <v>4.8351127856414856E-2</v>
      </c>
      <c r="Q15" s="26">
        <f>[2]Base!EH15</f>
        <v>0.13896637177197091</v>
      </c>
      <c r="R15" s="26">
        <f>[2]Base!EJ15</f>
        <v>0.78504903466545317</v>
      </c>
      <c r="S15" s="27">
        <f>[2]Base!EL15</f>
        <v>2.7633465706161008E-2</v>
      </c>
      <c r="U15" s="28">
        <v>2015</v>
      </c>
      <c r="V15" s="24">
        <f>SUMIFS($O$4:$O$1531,$F$4:$F$1531,"IPO",$J$4:$J$1531,"&gt;=01/01/2015",$J$4:$J$1531,"&lt;=31/12/2015")</f>
        <v>602800013.70000005</v>
      </c>
      <c r="W15" s="24">
        <f>SUMIFS($O$4:$O$1531,$F$4:$F$1531,"FOLLOW-ON",$J$4:$J$1531,"&gt;=01/01/2015",$J$4:$J$1531,"&lt;=31/12/2015")</f>
        <v>17461217464.799999</v>
      </c>
      <c r="X15" s="29">
        <f>SUMIFS($O$4:$O$1531,$J$4:$J$1531,"&gt;=01/01/2015",$J$4:$J$1531,"&lt;=31/12/2015")</f>
        <v>18064017478.5</v>
      </c>
    </row>
    <row r="16" spans="2:24" ht="13.2" x14ac:dyDescent="0.25">
      <c r="B16" s="18" t="str">
        <f>[2]Base!A16</f>
        <v>GERDAU MET</v>
      </c>
      <c r="C16" s="19" t="str">
        <f>[2]Base!C16</f>
        <v>N1</v>
      </c>
      <c r="D16" s="19" t="str">
        <f>[2]Base!EQ16</f>
        <v>Siderurgia</v>
      </c>
      <c r="E16" s="19" t="str">
        <f>[2]Base!M16</f>
        <v>Pactual</v>
      </c>
      <c r="F16" s="19" t="str">
        <f>[2]Base!F16</f>
        <v>FOLLOW-ON</v>
      </c>
      <c r="G16" s="19" t="str">
        <f>[2]Base!G16</f>
        <v>ICVM 400</v>
      </c>
      <c r="H16" s="20">
        <f>[2]Base!X16</f>
        <v>38330</v>
      </c>
      <c r="I16" s="21">
        <f>[2]Base!W16</f>
        <v>55</v>
      </c>
      <c r="J16" s="22">
        <f>[2]Base!J16</f>
        <v>38330</v>
      </c>
      <c r="K16" s="23">
        <f>[2]Base!BL16</f>
        <v>66</v>
      </c>
      <c r="L16" s="23">
        <f>[2]Base!DZ16</f>
        <v>119</v>
      </c>
      <c r="M16" s="24">
        <f>[2]Base!AO16</f>
        <v>0</v>
      </c>
      <c r="N16" s="24">
        <f>[2]Base!AP16</f>
        <v>88266090</v>
      </c>
      <c r="O16" s="25">
        <f>[2]Base!AQ16</f>
        <v>88266090</v>
      </c>
      <c r="P16" s="26">
        <f>[2]Base!EF16</f>
        <v>0.12963177591756925</v>
      </c>
      <c r="Q16" s="26">
        <f>[2]Base!EH16</f>
        <v>0.52802837420350213</v>
      </c>
      <c r="R16" s="26">
        <f>[2]Base!EJ16</f>
        <v>0.28401620599711624</v>
      </c>
      <c r="S16" s="27">
        <f>[2]Base!EL16</f>
        <v>5.8323643881812368E-2</v>
      </c>
      <c r="U16" s="28">
        <v>2016</v>
      </c>
      <c r="V16" s="24">
        <f>SUMIFS($O$4:$O$1531,$F$4:$F$1531,"IPO",$J$4:$J$1531,"&gt;=01/01/2016",$J$4:$J$1531,"&lt;=31/12/2016")</f>
        <v>674197600</v>
      </c>
      <c r="W16" s="24">
        <f>SUMIFS($O$4:$O$1531,$F$4:$F$1531,"FOLLOW-ON",$J$4:$J$1531,"&gt;=01/01/2016",$J$4:$J$1531,"&lt;=31/12/2016")</f>
        <v>9966649297.9599991</v>
      </c>
      <c r="X16" s="29">
        <f>SUMIFS($O$4:$O$1531,$J$4:$J$1531,"&gt;=01/01/2016",$J$4:$J$1531,"&lt;=31/12/2016")</f>
        <v>10640846897.959999</v>
      </c>
    </row>
    <row r="17" spans="2:24" ht="13.2" x14ac:dyDescent="0.25">
      <c r="B17" s="18" t="str">
        <f>[2]Base!A17</f>
        <v>BRADESPAR</v>
      </c>
      <c r="C17" s="19" t="str">
        <f>[2]Base!C17</f>
        <v>N1</v>
      </c>
      <c r="D17" s="19" t="str">
        <f>[2]Base!EQ17</f>
        <v>Holdings Diversificadas</v>
      </c>
      <c r="E17" s="19" t="str">
        <f>[2]Base!M17</f>
        <v>Credit Suisse</v>
      </c>
      <c r="F17" s="19" t="str">
        <f>[2]Base!F17</f>
        <v>FOLLOW-ON</v>
      </c>
      <c r="G17" s="19" t="str">
        <f>[2]Base!G17</f>
        <v>ICVM 400</v>
      </c>
      <c r="H17" s="20">
        <f>[2]Base!X17</f>
        <v>38335</v>
      </c>
      <c r="I17" s="21">
        <f>[2]Base!W17</f>
        <v>77</v>
      </c>
      <c r="J17" s="22">
        <f>[2]Base!J17</f>
        <v>38336</v>
      </c>
      <c r="K17" s="23">
        <f>[2]Base!BL17</f>
        <v>315</v>
      </c>
      <c r="L17" s="23">
        <f>[2]Base!DZ17</f>
        <v>737</v>
      </c>
      <c r="M17" s="24">
        <f>[2]Base!AO17</f>
        <v>1044546272</v>
      </c>
      <c r="N17" s="24">
        <f>[2]Base!AP17</f>
        <v>0</v>
      </c>
      <c r="O17" s="25">
        <f>[2]Base!AQ17</f>
        <v>1044546272</v>
      </c>
      <c r="P17" s="26">
        <f>[2]Base!EF17</f>
        <v>3.2629599007366901E-2</v>
      </c>
      <c r="Q17" s="26">
        <f>[2]Base!EH17</f>
        <v>0.15792991887677715</v>
      </c>
      <c r="R17" s="26">
        <f>[2]Base!EJ17</f>
        <v>0.66331297193122341</v>
      </c>
      <c r="S17" s="27">
        <f>[2]Base!EL17</f>
        <v>0.14612751018463258</v>
      </c>
      <c r="U17" s="28">
        <v>2017</v>
      </c>
      <c r="V17" s="24">
        <f>SUMIFS($O$4:$O$1531,$F$4:$F$1531,"IPO",$J$4:$J$1531,"&gt;=01/01/2017",$J$4:$J$1531,"&lt;=31/12/2017")</f>
        <v>20760529289</v>
      </c>
      <c r="W17" s="24">
        <f>SUMIFS($O$4:$O$1531,$F$4:$F$1531,"FOLLOW-ON",$J$4:$J$1531,"&gt;=01/01/2017",$J$4:$J$1531,"&lt;=31/12/2017")</f>
        <v>21020386287.610001</v>
      </c>
      <c r="X17" s="29">
        <f>SUMIFS($O$4:$O$1531,$J$4:$J$1531,"&gt;=01/01/2017",$J$4:$J$1531,"&lt;=31/12/2017")</f>
        <v>41780915576.610008</v>
      </c>
    </row>
    <row r="18" spans="2:24" ht="13.8" thickBot="1" x14ac:dyDescent="0.3">
      <c r="B18" s="30" t="str">
        <f>[2]Base!A18</f>
        <v>SUZANO PETR</v>
      </c>
      <c r="C18" s="31" t="str">
        <f>[2]Base!C18</f>
        <v>N2</v>
      </c>
      <c r="D18" s="31" t="str">
        <f>[2]Base!EQ18</f>
        <v>Petroquímicos</v>
      </c>
      <c r="E18" s="31" t="str">
        <f>[2]Base!M18</f>
        <v>Itaú BBA</v>
      </c>
      <c r="F18" s="31" t="str">
        <f>[2]Base!F18</f>
        <v>FOLLOW-ON</v>
      </c>
      <c r="G18" s="31" t="str">
        <f>[2]Base!G18</f>
        <v>ICVM 400</v>
      </c>
      <c r="H18" s="32">
        <f>[2]Base!X18</f>
        <v>38337</v>
      </c>
      <c r="I18" s="33">
        <f>[2]Base!W18</f>
        <v>5.8</v>
      </c>
      <c r="J18" s="34">
        <f>[2]Base!J18</f>
        <v>38338</v>
      </c>
      <c r="K18" s="35">
        <f>[2]Base!BL18</f>
        <v>4680</v>
      </c>
      <c r="L18" s="35">
        <f>[2]Base!DZ18</f>
        <v>5284</v>
      </c>
      <c r="M18" s="36">
        <f>[2]Base!AO18</f>
        <v>31900000</v>
      </c>
      <c r="N18" s="36">
        <f>[2]Base!AP18</f>
        <v>146740000</v>
      </c>
      <c r="O18" s="37">
        <f>[2]Base!AQ18</f>
        <v>178640000</v>
      </c>
      <c r="P18" s="38">
        <f>[2]Base!EF18</f>
        <v>0.17821548701298703</v>
      </c>
      <c r="Q18" s="38">
        <f>[2]Base!EH18</f>
        <v>0.45734454545454545</v>
      </c>
      <c r="R18" s="38">
        <f>[2]Base!EJ18</f>
        <v>0.35107967532467532</v>
      </c>
      <c r="S18" s="39">
        <f>[2]Base!EL18</f>
        <v>1.3360292207792208E-2</v>
      </c>
      <c r="U18" s="28">
        <v>2018</v>
      </c>
      <c r="V18" s="24">
        <f>SUMIFS($O$4:$O$1531,$F$4:$F$1531,"IPO",$J$4:$J$1531,"&gt;=01/01/2018",$J$4:$J$1531,"&lt;=31/12/2018")</f>
        <v>6823344094.5</v>
      </c>
      <c r="W18" s="24">
        <f>SUMIFS($O$4:$O$1531,$F$4:$F$1531,"FOLLOW-ON",$J$4:$J$1531,"&gt;=01/01/2018",$J$4:$J$1531,"&lt;=31/12/2018")</f>
        <v>4429700000</v>
      </c>
      <c r="X18" s="29">
        <f>SUMIFS($O$4:$O$1531,$J$4:$J$1531,"&gt;=01/01/2018",$J$4:$J$1531,"&lt;=31/12/2018")</f>
        <v>11253044094.5</v>
      </c>
    </row>
    <row r="19" spans="2:24" ht="13.8" thickTop="1" x14ac:dyDescent="0.25">
      <c r="B19" s="40" t="str">
        <f>[2]Base!A19</f>
        <v>UNIBANCO</v>
      </c>
      <c r="C19" s="41" t="str">
        <f>[2]Base!C19</f>
        <v>N1</v>
      </c>
      <c r="D19" s="41" t="str">
        <f>[2]Base!EQ19</f>
        <v>Bancos</v>
      </c>
      <c r="E19" s="41" t="str">
        <f>[2]Base!M19</f>
        <v>Unibanco</v>
      </c>
      <c r="F19" s="41" t="str">
        <f>[2]Base!F19</f>
        <v>FOLLOW-ON</v>
      </c>
      <c r="G19" s="41" t="str">
        <f>[2]Base!G19</f>
        <v>ICVM 400</v>
      </c>
      <c r="H19" s="42">
        <f>[2]Base!X19</f>
        <v>38383</v>
      </c>
      <c r="I19" s="43">
        <f>[2]Base!W19</f>
        <v>15.65</v>
      </c>
      <c r="J19" s="44">
        <f>[2]Base!J19</f>
        <v>38383</v>
      </c>
      <c r="K19" s="45">
        <f>[2]Base!BL19</f>
        <v>1402</v>
      </c>
      <c r="L19" s="45">
        <f>[2]Base!DZ19</f>
        <v>2064</v>
      </c>
      <c r="M19" s="46">
        <f>[2]Base!AO19</f>
        <v>0</v>
      </c>
      <c r="N19" s="46">
        <f>[2]Base!AP19</f>
        <v>718294106.54999995</v>
      </c>
      <c r="O19" s="47">
        <f>[2]Base!AQ19</f>
        <v>718294106.54999995</v>
      </c>
      <c r="P19" s="48">
        <f>[2]Base!EF19</f>
        <v>8.6912289799852868E-2</v>
      </c>
      <c r="Q19" s="48">
        <f>[2]Base!EH19</f>
        <v>0.32188932672790277</v>
      </c>
      <c r="R19" s="48">
        <f>[2]Base!EJ19</f>
        <v>0.56771033610257593</v>
      </c>
      <c r="S19" s="49">
        <f>[2]Base!EL19</f>
        <v>2.3488047369668339E-2</v>
      </c>
      <c r="U19" s="28">
        <v>2019</v>
      </c>
      <c r="V19" s="24">
        <f>SUMIFS($O$4:$O$1531,$F$4:$F$1531,"IPO",$J$4:$J$1531,"&gt;=01/01/2019",$J$4:$J$1531,"&lt;=31/12/2019")</f>
        <v>9836302564.7000008</v>
      </c>
      <c r="W19" s="24">
        <f>SUMIFS($O$4:$O$1531,$F$4:$F$1531,"FOLLOW-ON",$J$4:$J$1531,"&gt;=01/01/2019",$J$4:$J$1531,"&lt;=31/12/2019")</f>
        <v>79762980683.209991</v>
      </c>
      <c r="X19" s="29">
        <f>SUMIFS($O$4:$O$1531,$J$4:$J$1531,"&gt;=01/01/2019",$J$4:$J$1531,"&lt;=31/12/2019")</f>
        <v>89599283247.910004</v>
      </c>
    </row>
    <row r="20" spans="2:24" ht="13.2" x14ac:dyDescent="0.25">
      <c r="B20" s="18" t="str">
        <f>[2]Base!A20</f>
        <v>RENAR</v>
      </c>
      <c r="C20" s="19" t="str">
        <f>[2]Base!C20</f>
        <v>NM</v>
      </c>
      <c r="D20" s="19" t="str">
        <f>[2]Base!EQ20</f>
        <v>Alimentos Diversos</v>
      </c>
      <c r="E20" s="19" t="str">
        <f>[2]Base!M20</f>
        <v>Elite</v>
      </c>
      <c r="F20" s="19" t="str">
        <f>[2]Base!F20</f>
        <v>IPO</v>
      </c>
      <c r="G20" s="19" t="str">
        <f>[2]Base!G20</f>
        <v>ICVM 400</v>
      </c>
      <c r="H20" s="20">
        <f>[2]Base!X20</f>
        <v>38209</v>
      </c>
      <c r="I20" s="21">
        <f>[2]Base!W20</f>
        <v>1.6</v>
      </c>
      <c r="J20" s="22">
        <f>[2]Base!J20</f>
        <v>38411</v>
      </c>
      <c r="K20" s="23">
        <f>[2]Base!BL20</f>
        <v>1589</v>
      </c>
      <c r="L20" s="23">
        <f>[2]Base!DZ20</f>
        <v>1781</v>
      </c>
      <c r="M20" s="24">
        <f>[2]Base!AO20</f>
        <v>16000000</v>
      </c>
      <c r="N20" s="24">
        <f>[2]Base!AP20</f>
        <v>0</v>
      </c>
      <c r="O20" s="25">
        <f>[2]Base!AQ20</f>
        <v>16000000</v>
      </c>
      <c r="P20" s="26">
        <f>[2]Base!EF20</f>
        <v>0.87065859999999995</v>
      </c>
      <c r="Q20" s="26">
        <f>[2]Base!EH20</f>
        <v>1.0185300000000001E-2</v>
      </c>
      <c r="R20" s="26">
        <f>[2]Base!EJ20</f>
        <v>5.2089100000000006E-2</v>
      </c>
      <c r="S20" s="27">
        <f>[2]Base!EL20</f>
        <v>6.7067000000000002E-2</v>
      </c>
      <c r="U20" s="28">
        <v>2020</v>
      </c>
      <c r="V20" s="24">
        <f>SUMIFS($O$4:$O$1531,$F$4:$F$1531,"IPO",$J$4:$J$1531,"&gt;=01/01/2020",$J$4:$J$1531,"&lt;=31/12/2020")</f>
        <v>43925413832.250008</v>
      </c>
      <c r="W20" s="24">
        <f>SUMIFS($O$4:$O$1531,$F$4:$F$1531,"FOLLOW-ON",$J$4:$J$1531,"&gt;=01/01/2020",$J$4:$J$1531,"&lt;=31/12/2020")</f>
        <v>73962720930.050003</v>
      </c>
      <c r="X20" s="29">
        <f>SUMIFS($O$4:$O$1531,$J$4:$J$1531,"&gt;=01/01/2020",$J$4:$J$1531,"&lt;=31/12/2020")</f>
        <v>117888134762.29999</v>
      </c>
    </row>
    <row r="21" spans="2:24" ht="13.2" x14ac:dyDescent="0.25">
      <c r="B21" s="18" t="str">
        <f>[2]Base!A21</f>
        <v>ALL AMER LAT</v>
      </c>
      <c r="C21" s="19" t="str">
        <f>[2]Base!C21</f>
        <v>N2</v>
      </c>
      <c r="D21" s="19" t="str">
        <f>[2]Base!EQ21</f>
        <v>Transporte Ferroviário</v>
      </c>
      <c r="E21" s="19" t="str">
        <f>[2]Base!M21</f>
        <v>Pactual</v>
      </c>
      <c r="F21" s="19" t="str">
        <f>[2]Base!F21</f>
        <v>FOLLOW-ON</v>
      </c>
      <c r="G21" s="19" t="str">
        <f>[2]Base!G21</f>
        <v>ICVM 400</v>
      </c>
      <c r="H21" s="20">
        <f>[2]Base!X21</f>
        <v>38433</v>
      </c>
      <c r="I21" s="21">
        <f>[2]Base!W21</f>
        <v>72.5</v>
      </c>
      <c r="J21" s="22">
        <f>[2]Base!J21</f>
        <v>38434</v>
      </c>
      <c r="K21" s="23">
        <f>[2]Base!BL21</f>
        <v>1167</v>
      </c>
      <c r="L21" s="23">
        <f>[2]Base!DZ21</f>
        <v>1540</v>
      </c>
      <c r="M21" s="24">
        <f>[2]Base!AO21</f>
        <v>0</v>
      </c>
      <c r="N21" s="24">
        <f>[2]Base!AP21</f>
        <v>644865677.5</v>
      </c>
      <c r="O21" s="25">
        <f>[2]Base!AQ21</f>
        <v>644865677.5</v>
      </c>
      <c r="P21" s="26">
        <f>[2]Base!EF21</f>
        <v>8.5816619539345856E-2</v>
      </c>
      <c r="Q21" s="26">
        <f>[2]Base!EH21</f>
        <v>0.11042386032399747</v>
      </c>
      <c r="R21" s="26">
        <f>[2]Base!EJ21</f>
        <v>0.79990194159465089</v>
      </c>
      <c r="S21" s="27">
        <f>[2]Base!EL21</f>
        <v>3.8575785420057497E-3</v>
      </c>
      <c r="U21" s="28">
        <v>2021</v>
      </c>
      <c r="V21" s="24">
        <f>SUMIFS($O$4:$O$1531,$F$4:$F$1531,"IPO",$J$4:$J$1531,"&gt;=01/01/2021",$J$4:$J$1531,"&lt;=31/12/2021")</f>
        <v>65668660562.69001</v>
      </c>
      <c r="W21" s="24">
        <f>SUMIFS($O$4:$O$1531,$F$4:$F$1531,"FOLLOW-ON",$J$4:$J$1531,"&gt;=01/01/2021",$J$4:$J$1531,"&lt;=31/12/2021")</f>
        <v>64844099967.299995</v>
      </c>
      <c r="X21" s="29">
        <f>SUMIFS($O$4:$O$1531,$J$4:$J$1531,"&gt;=01/01/2021",$J$4:$J$1531,"&lt;=31/12/2021")</f>
        <v>130512760529.98999</v>
      </c>
    </row>
    <row r="22" spans="2:24" ht="13.2" x14ac:dyDescent="0.25">
      <c r="B22" s="18" t="str">
        <f>[2]Base!A22</f>
        <v>SUBMARINO</v>
      </c>
      <c r="C22" s="19" t="str">
        <f>[2]Base!C22</f>
        <v>NM</v>
      </c>
      <c r="D22" s="19" t="str">
        <f>[2]Base!EQ22</f>
        <v>Produtos Diversos</v>
      </c>
      <c r="E22" s="19" t="str">
        <f>[2]Base!M22</f>
        <v>Credit Suisse</v>
      </c>
      <c r="F22" s="19" t="str">
        <f>[2]Base!F22</f>
        <v>IPO</v>
      </c>
      <c r="G22" s="19" t="str">
        <f>[2]Base!G22</f>
        <v>ICVM 400</v>
      </c>
      <c r="H22" s="20">
        <f>[2]Base!X22</f>
        <v>38440</v>
      </c>
      <c r="I22" s="21">
        <f>[2]Base!W22</f>
        <v>21.62</v>
      </c>
      <c r="J22" s="22">
        <f>[2]Base!J22</f>
        <v>38441</v>
      </c>
      <c r="K22" s="23">
        <f>[2]Base!BL22</f>
        <v>3969</v>
      </c>
      <c r="L22" s="23">
        <f>[2]Base!DZ22</f>
        <v>4368</v>
      </c>
      <c r="M22" s="24">
        <f>[2]Base!AO22</f>
        <v>135125000</v>
      </c>
      <c r="N22" s="24">
        <f>[2]Base!AP22</f>
        <v>337812500</v>
      </c>
      <c r="O22" s="25">
        <f>[2]Base!AQ22</f>
        <v>472937500</v>
      </c>
      <c r="P22" s="26">
        <f>[2]Base!EF22</f>
        <v>8.858470559006211E-2</v>
      </c>
      <c r="Q22" s="26">
        <f>[2]Base!EH22</f>
        <v>0.2329450931677019</v>
      </c>
      <c r="R22" s="26">
        <f>[2]Base!EJ22</f>
        <v>0.65442583850931679</v>
      </c>
      <c r="S22" s="27">
        <f>[2]Base!EL22</f>
        <v>2.4044362732919256E-2</v>
      </c>
      <c r="U22" s="28">
        <v>2022</v>
      </c>
      <c r="V22" s="24">
        <f>SUMIFS($O$4:$O$1531,$F$4:$F$1531,"IPO",$J$4:$J$1531,"&gt;=01/01/2022",$J$4:$J$1531,"&lt;=31/12/2022")</f>
        <v>0</v>
      </c>
      <c r="W22" s="24">
        <f>SUMIFS($O$4:$O$1531,$F$4:$F$1531,"FOLLOW-ON",$J$4:$J$1531,"&gt;=01/01/2022",$J$4:$J$1531,"&lt;=31/12/2022")</f>
        <v>57701485612.419998</v>
      </c>
      <c r="X22" s="29">
        <f>SUMIFS($O$4:$O$1531,$J$4:$J$1531,"&gt;=01/01/2022",$J$4:$J$1531,"&lt;=31/12/2022")</f>
        <v>57701485612.419998</v>
      </c>
    </row>
    <row r="23" spans="2:24" ht="13.2" x14ac:dyDescent="0.25">
      <c r="B23" s="18" t="str">
        <f>[2]Base!A23</f>
        <v>ULTRAPAR</v>
      </c>
      <c r="C23" s="19" t="str">
        <f>[2]Base!C23</f>
        <v>BÁSICO</v>
      </c>
      <c r="D23" s="19" t="str">
        <f>[2]Base!EQ23</f>
        <v>Holdings Diversificadas</v>
      </c>
      <c r="E23" s="19" t="str">
        <f>[2]Base!M23</f>
        <v>UBS</v>
      </c>
      <c r="F23" s="19" t="str">
        <f>[2]Base!F23</f>
        <v>FOLLOW-ON</v>
      </c>
      <c r="G23" s="19" t="str">
        <f>[2]Base!G23</f>
        <v>ICVM 400</v>
      </c>
      <c r="H23" s="20">
        <f>[2]Base!X23</f>
        <v>38454</v>
      </c>
      <c r="I23" s="21">
        <f>[2]Base!W23</f>
        <v>0.04</v>
      </c>
      <c r="J23" s="22">
        <f>[2]Base!J23</f>
        <v>38455</v>
      </c>
      <c r="K23" s="23">
        <f>[2]Base!BL23</f>
        <v>1466</v>
      </c>
      <c r="L23" s="23">
        <f>[2]Base!DZ23</f>
        <v>1817</v>
      </c>
      <c r="M23" s="24">
        <f>[2]Base!AO23</f>
        <v>47218027.880000003</v>
      </c>
      <c r="N23" s="24">
        <f>[2]Base!AP23</f>
        <v>314786852.72000003</v>
      </c>
      <c r="O23" s="25">
        <f>[2]Base!AQ23</f>
        <v>362004880.60000002</v>
      </c>
      <c r="P23" s="26">
        <f>[2]Base!EF23</f>
        <v>8.0113947502397281E-2</v>
      </c>
      <c r="Q23" s="26">
        <f>[2]Base!EH23</f>
        <v>0.13830698811854636</v>
      </c>
      <c r="R23" s="26">
        <f>[2]Base!EJ23</f>
        <v>0.74808946064800641</v>
      </c>
      <c r="S23" s="27">
        <f>[2]Base!EL23</f>
        <v>3.3489603731049804E-2</v>
      </c>
      <c r="U23" s="28">
        <v>2023</v>
      </c>
      <c r="V23" s="24">
        <f>SUMIFS($O$4:$O$1531,$F$4:$F$1531,"IPO",$J$4:$J$1531,"&gt;=01/01/2022",$J$4:$J$1531,"&lt;=31/12/2022")</f>
        <v>0</v>
      </c>
      <c r="W23" s="24">
        <f>SUMIFS($O$4:$O$1531,$F$4:$F$1531,"FOLLOW-ON",$J$4:$J$1531,"&gt;=01/01/2023",$J$4:$J$1531,"&lt;=31/12/2023")</f>
        <v>31624646072.540001</v>
      </c>
      <c r="X23" s="29">
        <f>SUMIFS($O$4:$O$1531,$J$4:$J$1531,"&gt;=01/01/2023",$J$4:$J$1531,"&lt;=31/12/2023")</f>
        <v>31624646072.540001</v>
      </c>
    </row>
    <row r="24" spans="2:24" ht="13.2" x14ac:dyDescent="0.25">
      <c r="B24" s="18" t="str">
        <f>[2]Base!A24</f>
        <v>GOL</v>
      </c>
      <c r="C24" s="19" t="str">
        <f>[2]Base!C24</f>
        <v>N2</v>
      </c>
      <c r="D24" s="19" t="str">
        <f>[2]Base!EQ24</f>
        <v>Transporte Aéreo</v>
      </c>
      <c r="E24" s="19" t="str">
        <f>[2]Base!M24</f>
        <v>Santander</v>
      </c>
      <c r="F24" s="19" t="str">
        <f>[2]Base!F24</f>
        <v>FOLLOW-ON</v>
      </c>
      <c r="G24" s="19" t="str">
        <f>[2]Base!G24</f>
        <v>ICVM 400</v>
      </c>
      <c r="H24" s="20">
        <f>[2]Base!X24</f>
        <v>38469</v>
      </c>
      <c r="I24" s="21">
        <f>[2]Base!W24</f>
        <v>35.119999999999997</v>
      </c>
      <c r="J24" s="22">
        <f>[2]Base!J24</f>
        <v>38470</v>
      </c>
      <c r="K24" s="23">
        <f>[2]Base!BL24</f>
        <v>2379</v>
      </c>
      <c r="L24" s="23">
        <f>[2]Base!DZ24</f>
        <v>2598</v>
      </c>
      <c r="M24" s="24">
        <f>[2]Base!AO24</f>
        <v>271330482.31999999</v>
      </c>
      <c r="N24" s="24">
        <f>[2]Base!AP24</f>
        <v>322373117.67999995</v>
      </c>
      <c r="O24" s="25">
        <f>[2]Base!AQ24</f>
        <v>593703600</v>
      </c>
      <c r="P24" s="26">
        <f>[2]Base!EF24</f>
        <v>4.7624312333629099E-2</v>
      </c>
      <c r="Q24" s="26">
        <f>[2]Base!EH24</f>
        <v>0.15055959775214431</v>
      </c>
      <c r="R24" s="26">
        <f>[2]Base!EJ24</f>
        <v>0.79227151730257306</v>
      </c>
      <c r="S24" s="27">
        <f>[2]Base!EL24</f>
        <v>9.5445726116533559E-3</v>
      </c>
    </row>
    <row r="25" spans="2:24" ht="13.2" x14ac:dyDescent="0.25">
      <c r="B25" s="18" t="str">
        <f>[2]Base!A25</f>
        <v>LOCALIZA</v>
      </c>
      <c r="C25" s="19" t="str">
        <f>[2]Base!C25</f>
        <v>NM</v>
      </c>
      <c r="D25" s="19" t="str">
        <f>[2]Base!EQ25</f>
        <v>Aluguel de Carros</v>
      </c>
      <c r="E25" s="19" t="str">
        <f>[2]Base!M25</f>
        <v>Credit Suisse</v>
      </c>
      <c r="F25" s="19" t="str">
        <f>[2]Base!F25</f>
        <v>IPO</v>
      </c>
      <c r="G25" s="19" t="str">
        <f>[2]Base!G25</f>
        <v>ICVM 400</v>
      </c>
      <c r="H25" s="20">
        <f>[2]Base!X25</f>
        <v>38491</v>
      </c>
      <c r="I25" s="21">
        <f>[2]Base!W25</f>
        <v>11.5</v>
      </c>
      <c r="J25" s="22">
        <f>[2]Base!J25</f>
        <v>38495</v>
      </c>
      <c r="K25" s="23">
        <f>[2]Base!BL25</f>
        <v>785</v>
      </c>
      <c r="L25" s="23">
        <f>[2]Base!DZ25</f>
        <v>958</v>
      </c>
      <c r="M25" s="24">
        <f>[2]Base!AO25</f>
        <v>0</v>
      </c>
      <c r="N25" s="24">
        <f>[2]Base!AP25</f>
        <v>264802737.5</v>
      </c>
      <c r="O25" s="25">
        <f>[2]Base!AQ25</f>
        <v>264802737.5</v>
      </c>
      <c r="P25" s="26">
        <f>[2]Base!EF25</f>
        <v>8.2029748017389284E-2</v>
      </c>
      <c r="Q25" s="26">
        <f>[2]Base!EH25</f>
        <v>4.0349202653940167E-2</v>
      </c>
      <c r="R25" s="26">
        <f>[2]Base!EJ25</f>
        <v>0.86661689432317945</v>
      </c>
      <c r="S25" s="27">
        <f>[2]Base!EL25</f>
        <v>1.1004155005491085E-2</v>
      </c>
    </row>
    <row r="26" spans="2:24" ht="13.2" x14ac:dyDescent="0.25">
      <c r="B26" s="18" t="str">
        <f>[2]Base!A26</f>
        <v>TAM S/A</v>
      </c>
      <c r="C26" s="19" t="str">
        <f>[2]Base!C26</f>
        <v>N2</v>
      </c>
      <c r="D26" s="19" t="str">
        <f>[2]Base!EQ26</f>
        <v>Transporte Aéreo</v>
      </c>
      <c r="E26" s="19" t="str">
        <f>[2]Base!M26</f>
        <v>Pactual</v>
      </c>
      <c r="F26" s="19" t="str">
        <f>[2]Base!F26</f>
        <v>IPO</v>
      </c>
      <c r="G26" s="19" t="str">
        <f>[2]Base!G26</f>
        <v>ICVM 400</v>
      </c>
      <c r="H26" s="20">
        <f>[2]Base!X26</f>
        <v>38516</v>
      </c>
      <c r="I26" s="21">
        <f>[2]Base!W26</f>
        <v>18</v>
      </c>
      <c r="J26" s="22">
        <f>[2]Base!J26</f>
        <v>38517</v>
      </c>
      <c r="K26" s="23">
        <f>[2]Base!BL26</f>
        <v>1171</v>
      </c>
      <c r="L26" s="23">
        <f>[2]Base!DZ26</f>
        <v>1647</v>
      </c>
      <c r="M26" s="24">
        <f>[2]Base!AO26</f>
        <v>383942160</v>
      </c>
      <c r="N26" s="24">
        <f>[2]Base!AP26</f>
        <v>164546640</v>
      </c>
      <c r="O26" s="25">
        <f>[2]Base!AQ26</f>
        <v>548488800</v>
      </c>
      <c r="P26" s="26">
        <f>[2]Base!EF26</f>
        <v>9.1328515732682233E-2</v>
      </c>
      <c r="Q26" s="26">
        <f>[2]Base!EH26</f>
        <v>0.16127735333884666</v>
      </c>
      <c r="R26" s="26">
        <f>[2]Base!EJ26</f>
        <v>0.73807417398495645</v>
      </c>
      <c r="S26" s="27">
        <f>[2]Base!EL26</f>
        <v>9.3199569435146162E-3</v>
      </c>
    </row>
    <row r="27" spans="2:24" ht="13.2" x14ac:dyDescent="0.25">
      <c r="B27" s="18" t="str">
        <f>[2]Base!A27</f>
        <v>AES TIETE</v>
      </c>
      <c r="C27" s="19" t="str">
        <f>[2]Base!C27</f>
        <v>BÁSICO</v>
      </c>
      <c r="D27" s="19" t="str">
        <f>[2]Base!EQ27</f>
        <v>Energia Elétrica</v>
      </c>
      <c r="E27" s="19" t="str">
        <f>[2]Base!M27</f>
        <v>Credit Suisse</v>
      </c>
      <c r="F27" s="19" t="str">
        <f>[2]Base!F27</f>
        <v>FOLLOW-ON</v>
      </c>
      <c r="G27" s="19" t="str">
        <f>[2]Base!G27</f>
        <v>ICVM 400</v>
      </c>
      <c r="H27" s="20">
        <f>[2]Base!X27</f>
        <v>38517</v>
      </c>
      <c r="I27" s="21">
        <f>[2]Base!W27</f>
        <v>3.6499999999999998E-2</v>
      </c>
      <c r="J27" s="22">
        <f>[2]Base!J27</f>
        <v>38518</v>
      </c>
      <c r="K27" s="23">
        <f>[2]Base!BL27</f>
        <v>657</v>
      </c>
      <c r="L27" s="23">
        <f>[2]Base!DZ27</f>
        <v>1139</v>
      </c>
      <c r="M27" s="24">
        <f>[2]Base!AO27</f>
        <v>0</v>
      </c>
      <c r="N27" s="24">
        <f>[2]Base!AP27</f>
        <v>1059840083.5385001</v>
      </c>
      <c r="O27" s="25">
        <f>[2]Base!AQ27</f>
        <v>1059840083.5385001</v>
      </c>
      <c r="P27" s="26">
        <f>[2]Base!EF27</f>
        <v>1.7381361137518082E-2</v>
      </c>
      <c r="Q27" s="26">
        <f>[2]Base!EH27</f>
        <v>0.17793288041473623</v>
      </c>
      <c r="R27" s="26">
        <f>[2]Base!EJ27</f>
        <v>0.80199920997291008</v>
      </c>
      <c r="S27" s="27">
        <f>[2]Base!EL27</f>
        <v>2.686548474835607E-3</v>
      </c>
    </row>
    <row r="28" spans="2:24" ht="13.2" x14ac:dyDescent="0.25">
      <c r="B28" s="18" t="str">
        <f>[2]Base!A28</f>
        <v>LOJAS RENNER</v>
      </c>
      <c r="C28" s="19" t="str">
        <f>[2]Base!C28</f>
        <v>NM</v>
      </c>
      <c r="D28" s="19" t="str">
        <f>[2]Base!EQ28</f>
        <v>Tecidos, Vestuário e Calçados</v>
      </c>
      <c r="E28" s="19" t="str">
        <f>[2]Base!M28</f>
        <v>Credit Suisse</v>
      </c>
      <c r="F28" s="19" t="str">
        <f>[2]Base!F28</f>
        <v>FOLLOW-ON</v>
      </c>
      <c r="G28" s="19" t="str">
        <f>[2]Base!G28</f>
        <v>ICVM 400</v>
      </c>
      <c r="H28" s="20">
        <f>[2]Base!X28</f>
        <v>38532</v>
      </c>
      <c r="I28" s="21">
        <f>[2]Base!W28</f>
        <v>37</v>
      </c>
      <c r="J28" s="22">
        <f>[2]Base!J28</f>
        <v>38534</v>
      </c>
      <c r="K28" s="23">
        <f>[2]Base!BL28</f>
        <v>106</v>
      </c>
      <c r="L28" s="23">
        <f>[2]Base!DZ28</f>
        <v>448</v>
      </c>
      <c r="M28" s="24">
        <f>[2]Base!AO28</f>
        <v>343138259</v>
      </c>
      <c r="N28" s="24">
        <f>[2]Base!AP28</f>
        <v>542890492</v>
      </c>
      <c r="O28" s="25">
        <f>[2]Base!AQ28</f>
        <v>886028751</v>
      </c>
      <c r="P28" s="26">
        <f>[2]Base!EF28</f>
        <v>1.8411596364719902E-2</v>
      </c>
      <c r="Q28" s="26">
        <f>[2]Base!EH28</f>
        <v>0.11606454064758348</v>
      </c>
      <c r="R28" s="26">
        <f>[2]Base!EJ28</f>
        <v>0.86066164857145577</v>
      </c>
      <c r="S28" s="27">
        <f>[2]Base!EL28</f>
        <v>4.8622144162407963E-3</v>
      </c>
    </row>
    <row r="29" spans="2:24" ht="13.2" x14ac:dyDescent="0.25">
      <c r="B29" s="18" t="str">
        <f>[2]Base!A29</f>
        <v>ENERGIAS BR</v>
      </c>
      <c r="C29" s="19" t="str">
        <f>[2]Base!C29</f>
        <v>NM</v>
      </c>
      <c r="D29" s="19" t="str">
        <f>[2]Base!EQ29</f>
        <v>Energia Elétrica</v>
      </c>
      <c r="E29" s="19" t="str">
        <f>[2]Base!M29</f>
        <v>UBS</v>
      </c>
      <c r="F29" s="19" t="str">
        <f>[2]Base!F29</f>
        <v>IPO</v>
      </c>
      <c r="G29" s="19" t="str">
        <f>[2]Base!G29</f>
        <v>ICVM 400</v>
      </c>
      <c r="H29" s="20">
        <f>[2]Base!X29</f>
        <v>38545</v>
      </c>
      <c r="I29" s="21">
        <f>[2]Base!W29</f>
        <v>18</v>
      </c>
      <c r="J29" s="22">
        <f>[2]Base!J29</f>
        <v>38546</v>
      </c>
      <c r="K29" s="23">
        <f>[2]Base!BL29</f>
        <v>460</v>
      </c>
      <c r="L29" s="23">
        <f>[2]Base!DZ29</f>
        <v>1473</v>
      </c>
      <c r="M29" s="24">
        <f>[2]Base!AO29</f>
        <v>1170132696</v>
      </c>
      <c r="N29" s="24">
        <f>[2]Base!AP29</f>
        <v>14570028</v>
      </c>
      <c r="O29" s="25">
        <f>[2]Base!AQ29</f>
        <v>1184702724</v>
      </c>
      <c r="P29" s="26">
        <f>[2]Base!EF29</f>
        <v>1.2570388923998119E-2</v>
      </c>
      <c r="Q29" s="26">
        <f>[2]Base!EH29</f>
        <v>0.1546174565898947</v>
      </c>
      <c r="R29" s="26">
        <f>[2]Base!EJ29</f>
        <v>0.26359767195065553</v>
      </c>
      <c r="S29" s="27">
        <f>[2]Base!EL29</f>
        <v>0.5692144825354517</v>
      </c>
    </row>
    <row r="30" spans="2:24" ht="13.2" x14ac:dyDescent="0.25">
      <c r="B30" s="18" t="str">
        <f>[2]Base!A30</f>
        <v>OHL BRASIL</v>
      </c>
      <c r="C30" s="19" t="str">
        <f>[2]Base!C30</f>
        <v>NM</v>
      </c>
      <c r="D30" s="19" t="str">
        <f>[2]Base!EQ30</f>
        <v>Exploração de Rodovias</v>
      </c>
      <c r="E30" s="19" t="str">
        <f>[2]Base!M30</f>
        <v>Unibanco</v>
      </c>
      <c r="F30" s="19" t="str">
        <f>[2]Base!F30</f>
        <v>IPO</v>
      </c>
      <c r="G30" s="19" t="str">
        <f>[2]Base!G30</f>
        <v>ICVM 400</v>
      </c>
      <c r="H30" s="20">
        <f>[2]Base!X30</f>
        <v>38546</v>
      </c>
      <c r="I30" s="21">
        <f>[2]Base!W30</f>
        <v>18</v>
      </c>
      <c r="J30" s="22">
        <f>[2]Base!J30</f>
        <v>38548</v>
      </c>
      <c r="K30" s="23">
        <f>[2]Base!BL30</f>
        <v>1057</v>
      </c>
      <c r="L30" s="23">
        <f>[2]Base!DZ30</f>
        <v>1367</v>
      </c>
      <c r="M30" s="24">
        <f>[2]Base!AO30</f>
        <v>135000000</v>
      </c>
      <c r="N30" s="24">
        <f>[2]Base!AP30</f>
        <v>360999990</v>
      </c>
      <c r="O30" s="25">
        <f>[2]Base!AQ30</f>
        <v>495999990</v>
      </c>
      <c r="P30" s="26">
        <f>[2]Base!EF30</f>
        <v>7.9794400802306473E-2</v>
      </c>
      <c r="Q30" s="26">
        <f>[2]Base!EH30</f>
        <v>0.20655435900311209</v>
      </c>
      <c r="R30" s="26">
        <f>[2]Base!EJ30</f>
        <v>0.70142169156092116</v>
      </c>
      <c r="S30" s="27">
        <f>[2]Base!EL30</f>
        <v>1.2229548633660254E-2</v>
      </c>
    </row>
    <row r="31" spans="2:24" ht="13.2" x14ac:dyDescent="0.25">
      <c r="B31" s="18" t="str">
        <f>[2]Base!A31</f>
        <v>UNIBANCO</v>
      </c>
      <c r="C31" s="19" t="str">
        <f>[2]Base!C31</f>
        <v>N1</v>
      </c>
      <c r="D31" s="19" t="str">
        <f>[2]Base!EQ31</f>
        <v>Bancos</v>
      </c>
      <c r="E31" s="19" t="str">
        <f>[2]Base!M31</f>
        <v>Unibanco</v>
      </c>
      <c r="F31" s="19" t="str">
        <f>[2]Base!F31</f>
        <v>FOLLOW-ON</v>
      </c>
      <c r="G31" s="19" t="str">
        <f>[2]Base!G31</f>
        <v>ICVM 400</v>
      </c>
      <c r="H31" s="20">
        <f>[2]Base!X31</f>
        <v>38608</v>
      </c>
      <c r="I31" s="21">
        <f>[2]Base!W31</f>
        <v>20.49</v>
      </c>
      <c r="J31" s="22">
        <f>[2]Base!J31</f>
        <v>38609</v>
      </c>
      <c r="K31" s="23">
        <f>[2]Base!BL31</f>
        <v>932</v>
      </c>
      <c r="L31" s="23">
        <f>[2]Base!DZ31</f>
        <v>1415</v>
      </c>
      <c r="M31" s="24">
        <f>[2]Base!AO31</f>
        <v>0</v>
      </c>
      <c r="N31" s="24">
        <f>[2]Base!AP31</f>
        <v>1765197435.8399999</v>
      </c>
      <c r="O31" s="25">
        <f>[2]Base!AQ31</f>
        <v>1765197435.8399999</v>
      </c>
      <c r="P31" s="26">
        <f>[2]Base!EF31</f>
        <v>2.9388961589621433E-2</v>
      </c>
      <c r="Q31" s="26">
        <f>[2]Base!EH31</f>
        <v>0.1540143441351805</v>
      </c>
      <c r="R31" s="26">
        <f>[2]Base!EJ31</f>
        <v>0.80465119961161347</v>
      </c>
      <c r="S31" s="27">
        <f>[2]Base!EL31</f>
        <v>1.1945494663584633E-2</v>
      </c>
    </row>
    <row r="32" spans="2:24" ht="13.2" x14ac:dyDescent="0.25">
      <c r="B32" s="18" t="str">
        <f>[2]Base!A32</f>
        <v>BRADESPAR</v>
      </c>
      <c r="C32" s="19" t="str">
        <f>[2]Base!C32</f>
        <v>N1</v>
      </c>
      <c r="D32" s="19" t="str">
        <f>[2]Base!EQ32</f>
        <v>Holdings Diversificadas</v>
      </c>
      <c r="E32" s="19" t="str">
        <f>[2]Base!M32</f>
        <v>Credit Suisse</v>
      </c>
      <c r="F32" s="19" t="str">
        <f>[2]Base!F32</f>
        <v>FOLLOW-ON</v>
      </c>
      <c r="G32" s="19" t="str">
        <f>[2]Base!G32</f>
        <v>ICVM 400</v>
      </c>
      <c r="H32" s="20">
        <f>[2]Base!X32</f>
        <v>38609</v>
      </c>
      <c r="I32" s="21">
        <f>[2]Base!W32</f>
        <v>53</v>
      </c>
      <c r="J32" s="22">
        <f>[2]Base!J32</f>
        <v>38610</v>
      </c>
      <c r="K32" s="23">
        <f>[2]Base!BL32</f>
        <v>823</v>
      </c>
      <c r="L32" s="23">
        <f>[2]Base!DZ32</f>
        <v>1289</v>
      </c>
      <c r="M32" s="24">
        <f>[2]Base!AO32</f>
        <v>0</v>
      </c>
      <c r="N32" s="24">
        <f>[2]Base!AP32</f>
        <v>505059260</v>
      </c>
      <c r="O32" s="25">
        <f>[2]Base!AQ32</f>
        <v>505059260</v>
      </c>
      <c r="P32" s="26">
        <f>[2]Base!EF32</f>
        <v>8.5088494367967824E-2</v>
      </c>
      <c r="Q32" s="26">
        <f>[2]Base!EH32</f>
        <v>0.23694778905746625</v>
      </c>
      <c r="R32" s="26">
        <f>[2]Base!EJ32</f>
        <v>0.67082687089035853</v>
      </c>
      <c r="S32" s="27">
        <f>[2]Base!EL32</f>
        <v>7.1368456842074331E-3</v>
      </c>
    </row>
    <row r="33" spans="2:19" ht="13.2" x14ac:dyDescent="0.25">
      <c r="B33" s="18" t="str">
        <f>[2]Base!A33</f>
        <v>CYRELA REALT</v>
      </c>
      <c r="C33" s="19" t="str">
        <f>[2]Base!C33</f>
        <v>NM</v>
      </c>
      <c r="D33" s="19" t="str">
        <f>[2]Base!EQ33</f>
        <v>Construção Civil</v>
      </c>
      <c r="E33" s="19" t="str">
        <f>[2]Base!M33</f>
        <v>Credit Suisse</v>
      </c>
      <c r="F33" s="19" t="str">
        <f>[2]Base!F33</f>
        <v>FOLLOW-ON</v>
      </c>
      <c r="G33" s="19" t="str">
        <f>[2]Base!G33</f>
        <v>ICVM 400</v>
      </c>
      <c r="H33" s="20">
        <f>[2]Base!X33</f>
        <v>38615</v>
      </c>
      <c r="I33" s="21">
        <f>[2]Base!W33</f>
        <v>15</v>
      </c>
      <c r="J33" s="22">
        <f>[2]Base!J33</f>
        <v>38617</v>
      </c>
      <c r="K33" s="23">
        <f>[2]Base!BL33</f>
        <v>1574</v>
      </c>
      <c r="L33" s="23">
        <f>[2]Base!DZ33</f>
        <v>2025</v>
      </c>
      <c r="M33" s="24">
        <f>[2]Base!AO33</f>
        <v>629175000</v>
      </c>
      <c r="N33" s="24">
        <f>[2]Base!AP33</f>
        <v>273000000</v>
      </c>
      <c r="O33" s="25">
        <f>[2]Base!AQ33</f>
        <v>902175000</v>
      </c>
      <c r="P33" s="26">
        <f>[2]Base!EF33</f>
        <v>8.3550852107407106E-2</v>
      </c>
      <c r="Q33" s="26">
        <f>[2]Base!EH33</f>
        <v>0.18672499792168926</v>
      </c>
      <c r="R33" s="26">
        <f>[2]Base!EJ33</f>
        <v>0.7224429628398038</v>
      </c>
      <c r="S33" s="27">
        <f>[2]Base!EL33</f>
        <v>7.2811871310998416E-3</v>
      </c>
    </row>
    <row r="34" spans="2:19" ht="13.2" x14ac:dyDescent="0.25">
      <c r="B34" s="18" t="str">
        <f>[2]Base!A34</f>
        <v>NOSSA CAIXA</v>
      </c>
      <c r="C34" s="19" t="str">
        <f>[2]Base!C34</f>
        <v>NM</v>
      </c>
      <c r="D34" s="19" t="str">
        <f>[2]Base!EQ34</f>
        <v>Bancos</v>
      </c>
      <c r="E34" s="19" t="str">
        <f>[2]Base!M34</f>
        <v>UBS</v>
      </c>
      <c r="F34" s="19" t="str">
        <f>[2]Base!F34</f>
        <v>IPO</v>
      </c>
      <c r="G34" s="19" t="str">
        <f>[2]Base!G34</f>
        <v>ICVM 400</v>
      </c>
      <c r="H34" s="20">
        <f>[2]Base!X34</f>
        <v>38651</v>
      </c>
      <c r="I34" s="21">
        <f>[2]Base!W34</f>
        <v>31</v>
      </c>
      <c r="J34" s="22">
        <f>[2]Base!J34</f>
        <v>38653</v>
      </c>
      <c r="K34" s="23">
        <f>[2]Base!BL34</f>
        <v>7342</v>
      </c>
      <c r="L34" s="23">
        <f>[2]Base!DZ34</f>
        <v>8983</v>
      </c>
      <c r="M34" s="24">
        <f>[2]Base!AO34</f>
        <v>0</v>
      </c>
      <c r="N34" s="24">
        <f>[2]Base!AP34</f>
        <v>953955994</v>
      </c>
      <c r="O34" s="25">
        <f>[2]Base!AQ34</f>
        <v>953955994</v>
      </c>
      <c r="P34" s="26">
        <f>[2]Base!EF34</f>
        <v>7.061810547206436E-2</v>
      </c>
      <c r="Q34" s="26">
        <f>[2]Base!EH34</f>
        <v>0.21591992324123915</v>
      </c>
      <c r="R34" s="26">
        <f>[2]Base!EJ34</f>
        <v>0.70600518497292442</v>
      </c>
      <c r="S34" s="27">
        <f>[2]Base!EL34</f>
        <v>7.4567863137720378E-3</v>
      </c>
    </row>
    <row r="35" spans="2:19" ht="13.2" x14ac:dyDescent="0.25">
      <c r="B35" s="18" t="str">
        <f>[2]Base!A35</f>
        <v>COSAN</v>
      </c>
      <c r="C35" s="19" t="str">
        <f>[2]Base!C35</f>
        <v>NM</v>
      </c>
      <c r="D35" s="19" t="str">
        <f>[2]Base!EQ35</f>
        <v>Alimentos Diversos</v>
      </c>
      <c r="E35" s="19" t="str">
        <f>[2]Base!M35</f>
        <v>Morgan Stanley</v>
      </c>
      <c r="F35" s="19" t="str">
        <f>[2]Base!F35</f>
        <v>IPO</v>
      </c>
      <c r="G35" s="19" t="str">
        <f>[2]Base!G35</f>
        <v>ICVM 400</v>
      </c>
      <c r="H35" s="20">
        <f>[2]Base!X35</f>
        <v>38672</v>
      </c>
      <c r="I35" s="21">
        <f>[2]Base!W35</f>
        <v>48</v>
      </c>
      <c r="J35" s="22">
        <f>[2]Base!J35</f>
        <v>38674</v>
      </c>
      <c r="K35" s="23">
        <f>[2]Base!BL35</f>
        <v>8835</v>
      </c>
      <c r="L35" s="23">
        <f>[2]Base!DZ35</f>
        <v>10359</v>
      </c>
      <c r="M35" s="24">
        <f>[2]Base!AO35</f>
        <v>885767328</v>
      </c>
      <c r="N35" s="24">
        <f>[2]Base!AP35</f>
        <v>0</v>
      </c>
      <c r="O35" s="25">
        <f>[2]Base!AQ35</f>
        <v>885767328</v>
      </c>
      <c r="P35" s="26">
        <f>[2]Base!EF35</f>
        <v>8.2878378643471487E-2</v>
      </c>
      <c r="Q35" s="26">
        <f>[2]Base!EH35</f>
        <v>0.18421603376185941</v>
      </c>
      <c r="R35" s="26">
        <f>[2]Base!EJ35</f>
        <v>0.72297521454753866</v>
      </c>
      <c r="S35" s="27">
        <f>[2]Base!EL35</f>
        <v>9.9303730471304984E-3</v>
      </c>
    </row>
    <row r="36" spans="2:19" ht="13.2" x14ac:dyDescent="0.25">
      <c r="B36" s="18" t="str">
        <f>[2]Base!A36</f>
        <v>TRACTEBEL</v>
      </c>
      <c r="C36" s="19" t="str">
        <f>[2]Base!C36</f>
        <v>NM</v>
      </c>
      <c r="D36" s="19" t="str">
        <f>[2]Base!EQ36</f>
        <v>Energia Elétrica</v>
      </c>
      <c r="E36" s="19" t="str">
        <f>[2]Base!M36</f>
        <v>UBS</v>
      </c>
      <c r="F36" s="19" t="str">
        <f>[2]Base!F36</f>
        <v>FOLLOW-ON</v>
      </c>
      <c r="G36" s="19" t="str">
        <f>[2]Base!G36</f>
        <v>ICVM 400</v>
      </c>
      <c r="H36" s="20">
        <f>[2]Base!X36</f>
        <v>38693</v>
      </c>
      <c r="I36" s="21">
        <f>[2]Base!W36</f>
        <v>13</v>
      </c>
      <c r="J36" s="22">
        <f>[2]Base!J36</f>
        <v>38695</v>
      </c>
      <c r="K36" s="23">
        <f>[2]Base!BL36</f>
        <v>6351</v>
      </c>
      <c r="L36" s="23">
        <f>[2]Base!DZ36</f>
        <v>7405</v>
      </c>
      <c r="M36" s="24">
        <f>[2]Base!AO36</f>
        <v>0</v>
      </c>
      <c r="N36" s="24">
        <f>[2]Base!AP36</f>
        <v>1051700000</v>
      </c>
      <c r="O36" s="25">
        <f>[2]Base!AQ36</f>
        <v>1051700000</v>
      </c>
      <c r="P36" s="26">
        <f>[2]Base!EF36</f>
        <v>8.4687243510506799E-2</v>
      </c>
      <c r="Q36" s="26">
        <f>[2]Base!EH36</f>
        <v>0.35782385661310262</v>
      </c>
      <c r="R36" s="26">
        <f>[2]Base!EJ36</f>
        <v>0.55052860321384423</v>
      </c>
      <c r="S36" s="27">
        <f>[2]Base!EL36</f>
        <v>6.9602966625463532E-3</v>
      </c>
    </row>
    <row r="37" spans="2:19" ht="13.8" thickBot="1" x14ac:dyDescent="0.3">
      <c r="B37" s="30" t="str">
        <f>[2]Base!A37</f>
        <v>UOL</v>
      </c>
      <c r="C37" s="31" t="str">
        <f>[2]Base!C37</f>
        <v>N2</v>
      </c>
      <c r="D37" s="31" t="str">
        <f>[2]Base!EQ37</f>
        <v>Programas e Serviços</v>
      </c>
      <c r="E37" s="31" t="str">
        <f>[2]Base!M37</f>
        <v>Merrill Lynch</v>
      </c>
      <c r="F37" s="31" t="str">
        <f>[2]Base!F37</f>
        <v>IPO</v>
      </c>
      <c r="G37" s="31" t="str">
        <f>[2]Base!G37</f>
        <v>ICVM 400</v>
      </c>
      <c r="H37" s="32">
        <f>[2]Base!X37</f>
        <v>38700</v>
      </c>
      <c r="I37" s="33">
        <f>[2]Base!W37</f>
        <v>18</v>
      </c>
      <c r="J37" s="34">
        <f>[2]Base!J37</f>
        <v>38702</v>
      </c>
      <c r="K37" s="35">
        <f>[2]Base!BL37</f>
        <v>12890</v>
      </c>
      <c r="L37" s="35">
        <f>[2]Base!DZ37</f>
        <v>14346</v>
      </c>
      <c r="M37" s="36">
        <f>[2]Base!AO37</f>
        <v>322972416</v>
      </c>
      <c r="N37" s="36">
        <f>[2]Base!AP37</f>
        <v>301708170</v>
      </c>
      <c r="O37" s="37">
        <f>[2]Base!AQ37</f>
        <v>624680586</v>
      </c>
      <c r="P37" s="38">
        <f>[2]Base!EF37</f>
        <v>7.2507475044214037E-2</v>
      </c>
      <c r="Q37" s="38">
        <f>[2]Base!EH37</f>
        <v>0.2122019588423707</v>
      </c>
      <c r="R37" s="38">
        <f>[2]Base!EJ37</f>
        <v>0.70989575782974634</v>
      </c>
      <c r="S37" s="39">
        <f>[2]Base!EL37</f>
        <v>5.394808283668992E-3</v>
      </c>
    </row>
    <row r="38" spans="2:19" ht="13.8" thickTop="1" x14ac:dyDescent="0.25">
      <c r="B38" s="40" t="str">
        <f>[2]Base!A38</f>
        <v>IOCHP-MAXION</v>
      </c>
      <c r="C38" s="41" t="str">
        <f>[2]Base!C38</f>
        <v>N1</v>
      </c>
      <c r="D38" s="41" t="str">
        <f>[2]Base!EQ38</f>
        <v>Material Rodoviário</v>
      </c>
      <c r="E38" s="41" t="str">
        <f>[2]Base!M38</f>
        <v>Unibanco</v>
      </c>
      <c r="F38" s="41" t="str">
        <f>[2]Base!F38</f>
        <v>FOLLOW-ON</v>
      </c>
      <c r="G38" s="41" t="str">
        <f>[2]Base!G38</f>
        <v>ICVM 400</v>
      </c>
      <c r="H38" s="42">
        <f>[2]Base!X38</f>
        <v>38748</v>
      </c>
      <c r="I38" s="43">
        <f>[2]Base!W38</f>
        <v>19.25</v>
      </c>
      <c r="J38" s="44">
        <f>[2]Base!J38</f>
        <v>38750</v>
      </c>
      <c r="K38" s="45">
        <f>[2]Base!BL38</f>
        <v>6870</v>
      </c>
      <c r="L38" s="45">
        <f>[2]Base!DZ38</f>
        <v>7577</v>
      </c>
      <c r="M38" s="46">
        <f>[2]Base!AO38</f>
        <v>0</v>
      </c>
      <c r="N38" s="46">
        <f>[2]Base!AP38</f>
        <v>340203787</v>
      </c>
      <c r="O38" s="47">
        <f>[2]Base!AQ38</f>
        <v>340203787</v>
      </c>
      <c r="P38" s="48">
        <f>[2]Base!EF38</f>
        <v>0.11827067394332143</v>
      </c>
      <c r="Q38" s="48">
        <f>[2]Base!EH38</f>
        <v>0.43583619318392341</v>
      </c>
      <c r="R38" s="48">
        <f>[2]Base!EJ38</f>
        <v>0.41675699151746798</v>
      </c>
      <c r="S38" s="49">
        <f>[2]Base!EL38</f>
        <v>2.9136141355287172E-2</v>
      </c>
    </row>
    <row r="39" spans="2:19" ht="13.2" x14ac:dyDescent="0.25">
      <c r="B39" s="18" t="str">
        <f>[2]Base!A39</f>
        <v>COPASA</v>
      </c>
      <c r="C39" s="19" t="str">
        <f>[2]Base!C39</f>
        <v>NM</v>
      </c>
      <c r="D39" s="19" t="str">
        <f>[2]Base!EQ39</f>
        <v>Água e Saneamento</v>
      </c>
      <c r="E39" s="19" t="str">
        <f>[2]Base!M39</f>
        <v>Unibanco</v>
      </c>
      <c r="F39" s="19" t="str">
        <f>[2]Base!F39</f>
        <v>IPO</v>
      </c>
      <c r="G39" s="19" t="str">
        <f>[2]Base!G39</f>
        <v>ICVM 400</v>
      </c>
      <c r="H39" s="20">
        <f>[2]Base!X39</f>
        <v>38754</v>
      </c>
      <c r="I39" s="21">
        <f>[2]Base!W39</f>
        <v>23.5</v>
      </c>
      <c r="J39" s="22">
        <f>[2]Base!J39</f>
        <v>38756</v>
      </c>
      <c r="K39" s="23">
        <f>[2]Base!BL39</f>
        <v>15465</v>
      </c>
      <c r="L39" s="23">
        <f>[2]Base!DZ39</f>
        <v>17214</v>
      </c>
      <c r="M39" s="24">
        <f>[2]Base!AO39</f>
        <v>813461524</v>
      </c>
      <c r="N39" s="24">
        <f>[2]Base!AP39</f>
        <v>0</v>
      </c>
      <c r="O39" s="25">
        <f>[2]Base!AQ39</f>
        <v>813461524</v>
      </c>
      <c r="P39" s="26">
        <f>[2]Base!EF39</f>
        <v>6.932671901025278E-2</v>
      </c>
      <c r="Q39" s="26">
        <f>[2]Base!EH39</f>
        <v>0.17995897431038177</v>
      </c>
      <c r="R39" s="26">
        <f>[2]Base!EJ39</f>
        <v>0.73886237980199787</v>
      </c>
      <c r="S39" s="27">
        <f>[2]Base!EL39</f>
        <v>1.1851926877367589E-2</v>
      </c>
    </row>
    <row r="40" spans="2:19" ht="13.2" x14ac:dyDescent="0.25">
      <c r="B40" s="18" t="str">
        <f>[2]Base!A40</f>
        <v>VIVAX</v>
      </c>
      <c r="C40" s="19" t="str">
        <f>[2]Base!C40</f>
        <v>N2</v>
      </c>
      <c r="D40" s="19" t="str">
        <f>[2]Base!EQ40</f>
        <v>Televisão Por Assinatura</v>
      </c>
      <c r="E40" s="19" t="str">
        <f>[2]Base!M40</f>
        <v>Itaú BBA</v>
      </c>
      <c r="F40" s="19" t="str">
        <f>[2]Base!F40</f>
        <v>IPO</v>
      </c>
      <c r="G40" s="19" t="str">
        <f>[2]Base!G40</f>
        <v>ICVM 400</v>
      </c>
      <c r="H40" s="20">
        <f>[2]Base!X40</f>
        <v>38754</v>
      </c>
      <c r="I40" s="21">
        <f>[2]Base!W40</f>
        <v>24.5</v>
      </c>
      <c r="J40" s="22">
        <f>[2]Base!J40</f>
        <v>38756</v>
      </c>
      <c r="K40" s="23">
        <f>[2]Base!BL40</f>
        <v>7730</v>
      </c>
      <c r="L40" s="23">
        <f>[2]Base!DZ40</f>
        <v>9017</v>
      </c>
      <c r="M40" s="24">
        <f>[2]Base!AO40</f>
        <v>58800000</v>
      </c>
      <c r="N40" s="24">
        <f>[2]Base!AP40</f>
        <v>470400000</v>
      </c>
      <c r="O40" s="25">
        <f>[2]Base!AQ40</f>
        <v>529200000</v>
      </c>
      <c r="P40" s="26">
        <f>[2]Base!EF40</f>
        <v>7.7384722222222216E-2</v>
      </c>
      <c r="Q40" s="26">
        <f>[2]Base!EH40</f>
        <v>0.22933722222222222</v>
      </c>
      <c r="R40" s="26">
        <f>[2]Base!EJ40</f>
        <v>0.68627736111111115</v>
      </c>
      <c r="S40" s="27">
        <f>[2]Base!EL40</f>
        <v>7.0006944444444448E-3</v>
      </c>
    </row>
    <row r="41" spans="2:19" ht="13.2" x14ac:dyDescent="0.25">
      <c r="B41" s="18" t="str">
        <f>[2]Base!A41</f>
        <v>ROSSI RESID</v>
      </c>
      <c r="C41" s="19" t="str">
        <f>[2]Base!C41</f>
        <v>NM</v>
      </c>
      <c r="D41" s="19" t="str">
        <f>[2]Base!EQ41</f>
        <v>Construção Civil</v>
      </c>
      <c r="E41" s="19" t="str">
        <f>[2]Base!M41</f>
        <v>Credit Suisse</v>
      </c>
      <c r="F41" s="19" t="str">
        <f>[2]Base!F41</f>
        <v>FOLLOW-ON</v>
      </c>
      <c r="G41" s="19" t="str">
        <f>[2]Base!G41</f>
        <v>ICVM 400</v>
      </c>
      <c r="H41" s="20">
        <f>[2]Base!X41</f>
        <v>38761</v>
      </c>
      <c r="I41" s="21">
        <f>[2]Base!W41</f>
        <v>25</v>
      </c>
      <c r="J41" s="22">
        <f>[2]Base!J41</f>
        <v>38763</v>
      </c>
      <c r="K41" s="23">
        <f>[2]Base!BL41</f>
        <v>3348</v>
      </c>
      <c r="L41" s="23">
        <f>[2]Base!DZ41</f>
        <v>3989</v>
      </c>
      <c r="M41" s="24">
        <f>[2]Base!AO41</f>
        <v>762500000</v>
      </c>
      <c r="N41" s="24">
        <f>[2]Base!AP41</f>
        <v>250000000</v>
      </c>
      <c r="O41" s="25">
        <f>[2]Base!AQ41</f>
        <v>1012500000</v>
      </c>
      <c r="P41" s="26">
        <f>[2]Base!EF41</f>
        <v>7.2594839506172834E-2</v>
      </c>
      <c r="Q41" s="26">
        <f>[2]Base!EH41</f>
        <v>0.12092846913580246</v>
      </c>
      <c r="R41" s="26">
        <f>[2]Base!EJ41</f>
        <v>0.80292745679012345</v>
      </c>
      <c r="S41" s="27">
        <f>[2]Base!EL41</f>
        <v>3.5492345679012344E-3</v>
      </c>
    </row>
    <row r="42" spans="2:19" ht="13.2" x14ac:dyDescent="0.25">
      <c r="B42" s="18" t="str">
        <f>[2]Base!A42</f>
        <v>GAFISA</v>
      </c>
      <c r="C42" s="19" t="str">
        <f>[2]Base!C42</f>
        <v>NM</v>
      </c>
      <c r="D42" s="19" t="str">
        <f>[2]Base!EQ42</f>
        <v>Construção Civil</v>
      </c>
      <c r="E42" s="19" t="str">
        <f>[2]Base!M42</f>
        <v>Merrill Lynch</v>
      </c>
      <c r="F42" s="19" t="str">
        <f>[2]Base!F42</f>
        <v>IPO</v>
      </c>
      <c r="G42" s="19" t="str">
        <f>[2]Base!G42</f>
        <v>ICVM 400</v>
      </c>
      <c r="H42" s="20">
        <f>[2]Base!X42</f>
        <v>38764</v>
      </c>
      <c r="I42" s="21">
        <f>[2]Base!W42</f>
        <v>18.5</v>
      </c>
      <c r="J42" s="22">
        <f>[2]Base!J42</f>
        <v>38765</v>
      </c>
      <c r="K42" s="23">
        <f>[2]Base!BL42</f>
        <v>13753</v>
      </c>
      <c r="L42" s="23">
        <f>[2]Base!DZ42</f>
        <v>15560</v>
      </c>
      <c r="M42" s="24">
        <f>[2]Base!AO42</f>
        <v>494394000</v>
      </c>
      <c r="N42" s="24">
        <f>[2]Base!AP42</f>
        <v>432594750</v>
      </c>
      <c r="O42" s="25">
        <f>[2]Base!AQ42</f>
        <v>926988750</v>
      </c>
      <c r="P42" s="26">
        <f>[2]Base!EF42</f>
        <v>8.964815646360326E-2</v>
      </c>
      <c r="Q42" s="26">
        <f>[2]Base!EH42</f>
        <v>0.17935019707628599</v>
      </c>
      <c r="R42" s="26">
        <f>[2]Base!EJ42</f>
        <v>0.72243095345008235</v>
      </c>
      <c r="S42" s="27">
        <f>[2]Base!EL42</f>
        <v>8.5706930100284389E-3</v>
      </c>
    </row>
    <row r="43" spans="2:19" ht="13.2" x14ac:dyDescent="0.25">
      <c r="B43" s="18" t="str">
        <f>[2]Base!A43</f>
        <v>COMPANY</v>
      </c>
      <c r="C43" s="19" t="str">
        <f>[2]Base!C43</f>
        <v>NM</v>
      </c>
      <c r="D43" s="19" t="str">
        <f>[2]Base!EQ43</f>
        <v>Construção Civil</v>
      </c>
      <c r="E43" s="19" t="str">
        <f>[2]Base!M43</f>
        <v>ABN Amro</v>
      </c>
      <c r="F43" s="19" t="str">
        <f>[2]Base!F43</f>
        <v>IPO</v>
      </c>
      <c r="G43" s="19" t="str">
        <f>[2]Base!G43</f>
        <v>ICVM 400</v>
      </c>
      <c r="H43" s="20">
        <f>[2]Base!X43</f>
        <v>38771</v>
      </c>
      <c r="I43" s="21">
        <f>[2]Base!W43</f>
        <v>16</v>
      </c>
      <c r="J43" s="22">
        <f>[2]Base!J43</f>
        <v>38778</v>
      </c>
      <c r="K43" s="23">
        <f>[2]Base!BL43</f>
        <v>12903</v>
      </c>
      <c r="L43" s="23">
        <f>[2]Base!DZ43</f>
        <v>13701</v>
      </c>
      <c r="M43" s="24">
        <f>[2]Base!AO43</f>
        <v>208000000</v>
      </c>
      <c r="N43" s="24">
        <f>[2]Base!AP43</f>
        <v>73600000</v>
      </c>
      <c r="O43" s="25">
        <f>[2]Base!AQ43</f>
        <v>281600000</v>
      </c>
      <c r="P43" s="26">
        <f>[2]Base!EF43</f>
        <v>9.2559488636363638E-2</v>
      </c>
      <c r="Q43" s="26">
        <f>[2]Base!EH43</f>
        <v>0.26853977272727275</v>
      </c>
      <c r="R43" s="26">
        <f>[2]Base!EJ43</f>
        <v>0.63618750000000002</v>
      </c>
      <c r="S43" s="27">
        <f>[2]Base!EL43</f>
        <v>2.7132386363636365E-3</v>
      </c>
    </row>
    <row r="44" spans="2:19" ht="13.2" x14ac:dyDescent="0.25">
      <c r="B44" s="18" t="str">
        <f>[2]Base!A44</f>
        <v>TOTVS</v>
      </c>
      <c r="C44" s="19" t="str">
        <f>[2]Base!C44</f>
        <v>NM</v>
      </c>
      <c r="D44" s="19" t="str">
        <f>[2]Base!EQ44</f>
        <v>Programas e Serviços</v>
      </c>
      <c r="E44" s="19" t="str">
        <f>[2]Base!M44</f>
        <v>Itaú BBA</v>
      </c>
      <c r="F44" s="19" t="str">
        <f>[2]Base!F44</f>
        <v>IPO</v>
      </c>
      <c r="G44" s="19" t="str">
        <f>[2]Base!G44</f>
        <v>ICVM 400</v>
      </c>
      <c r="H44" s="20">
        <f>[2]Base!X44</f>
        <v>38783</v>
      </c>
      <c r="I44" s="21">
        <f>[2]Base!W44</f>
        <v>32</v>
      </c>
      <c r="J44" s="22">
        <f>[2]Base!J44</f>
        <v>38785</v>
      </c>
      <c r="K44" s="23">
        <f>[2]Base!BL44</f>
        <v>16017</v>
      </c>
      <c r="L44" s="23">
        <f>[2]Base!DZ44</f>
        <v>17600</v>
      </c>
      <c r="M44" s="24">
        <f>[2]Base!AO44</f>
        <v>344800000</v>
      </c>
      <c r="N44" s="24">
        <f>[2]Base!AP44</f>
        <v>115200000</v>
      </c>
      <c r="O44" s="25">
        <f>[2]Base!AQ44</f>
        <v>460000000</v>
      </c>
      <c r="P44" s="26">
        <f>[2]Base!EF44</f>
        <v>8.8108173913043472E-2</v>
      </c>
      <c r="Q44" s="26">
        <f>[2]Base!EH44</f>
        <v>0.21268459130434783</v>
      </c>
      <c r="R44" s="26">
        <f>[2]Base!EJ44</f>
        <v>0.69445808695652178</v>
      </c>
      <c r="S44" s="27">
        <f>[2]Base!EL44</f>
        <v>4.7491478260869562E-3</v>
      </c>
    </row>
    <row r="45" spans="2:19" ht="13.2" x14ac:dyDescent="0.25">
      <c r="B45" s="18" t="str">
        <f>[2]Base!A45</f>
        <v>TAM S/A</v>
      </c>
      <c r="C45" s="19" t="str">
        <f>[2]Base!C45</f>
        <v>N2</v>
      </c>
      <c r="D45" s="19" t="str">
        <f>[2]Base!EQ45</f>
        <v>Transporte Aéreo</v>
      </c>
      <c r="E45" s="19" t="str">
        <f>[2]Base!M45</f>
        <v>Pactual</v>
      </c>
      <c r="F45" s="19" t="str">
        <f>[2]Base!F45</f>
        <v>FOLLOW-ON</v>
      </c>
      <c r="G45" s="19" t="str">
        <f>[2]Base!G45</f>
        <v>ICVM 400</v>
      </c>
      <c r="H45" s="20">
        <f>[2]Base!X45</f>
        <v>38785</v>
      </c>
      <c r="I45" s="21">
        <f>[2]Base!W45</f>
        <v>42</v>
      </c>
      <c r="J45" s="22">
        <f>[2]Base!J45</f>
        <v>38786</v>
      </c>
      <c r="K45" s="23">
        <f>[2]Base!BL45</f>
        <v>3510</v>
      </c>
      <c r="L45" s="23">
        <f>[2]Base!DZ45</f>
        <v>3891</v>
      </c>
      <c r="M45" s="24">
        <f>[2]Base!AO45</f>
        <v>273162918</v>
      </c>
      <c r="N45" s="24">
        <f>[2]Base!AP45</f>
        <v>1285960116</v>
      </c>
      <c r="O45" s="25">
        <f>[2]Base!AQ45</f>
        <v>1559123034</v>
      </c>
      <c r="P45" s="26">
        <f>[2]Base!EF45</f>
        <v>3.5161401866052801E-2</v>
      </c>
      <c r="Q45" s="26">
        <f>[2]Base!EH45</f>
        <v>0.19000637598312647</v>
      </c>
      <c r="R45" s="26">
        <f>[2]Base!EJ45</f>
        <v>0.77077014116993636</v>
      </c>
      <c r="S45" s="27">
        <f>[2]Base!EL45</f>
        <v>4.0620809808843417E-3</v>
      </c>
    </row>
    <row r="46" spans="2:19" ht="13.2" x14ac:dyDescent="0.25">
      <c r="B46" s="18" t="str">
        <f>[2]Base!A46</f>
        <v>DASA</v>
      </c>
      <c r="C46" s="19" t="str">
        <f>[2]Base!C46</f>
        <v>NM</v>
      </c>
      <c r="D46" s="19" t="str">
        <f>[2]Base!EQ46</f>
        <v>Serv. Méd. Hospit., Análises e Diagnósticos</v>
      </c>
      <c r="E46" s="19" t="str">
        <f>[2]Base!M46</f>
        <v>UBS</v>
      </c>
      <c r="F46" s="19" t="str">
        <f>[2]Base!F46</f>
        <v>FOLLOW-ON</v>
      </c>
      <c r="G46" s="19" t="str">
        <f>[2]Base!G46</f>
        <v>ICVM 400</v>
      </c>
      <c r="H46" s="20">
        <f>[2]Base!X46</f>
        <v>38798</v>
      </c>
      <c r="I46" s="21">
        <f>[2]Base!W46</f>
        <v>49</v>
      </c>
      <c r="J46" s="22">
        <f>[2]Base!J46</f>
        <v>38800</v>
      </c>
      <c r="K46" s="23">
        <f>[2]Base!BL46</f>
        <v>2063</v>
      </c>
      <c r="L46" s="23">
        <f>[2]Base!DZ46</f>
        <v>2308</v>
      </c>
      <c r="M46" s="24">
        <f>[2]Base!AO46</f>
        <v>185955000</v>
      </c>
      <c r="N46" s="24">
        <f>[2]Base!AP46</f>
        <v>476428274</v>
      </c>
      <c r="O46" s="25">
        <f>[2]Base!AQ46</f>
        <v>662383274</v>
      </c>
      <c r="P46" s="26">
        <f>[2]Base!EF46</f>
        <v>3.5627391159034613E-2</v>
      </c>
      <c r="Q46" s="26">
        <f>[2]Base!EH46</f>
        <v>0.10744068697604221</v>
      </c>
      <c r="R46" s="26">
        <f>[2]Base!EJ46</f>
        <v>0.84918803973302015</v>
      </c>
      <c r="S46" s="27">
        <f>[2]Base!EL46</f>
        <v>7.7438821319029865E-3</v>
      </c>
    </row>
    <row r="47" spans="2:19" ht="13.2" x14ac:dyDescent="0.25">
      <c r="B47" s="18" t="str">
        <f>[2]Base!A47</f>
        <v>EQUATORIAL</v>
      </c>
      <c r="C47" s="19" t="str">
        <f>[2]Base!C47</f>
        <v>N2</v>
      </c>
      <c r="D47" s="19" t="str">
        <f>[2]Base!EQ47</f>
        <v>Energia Elétrica</v>
      </c>
      <c r="E47" s="19" t="str">
        <f>[2]Base!M47</f>
        <v>Credit Suisse</v>
      </c>
      <c r="F47" s="19" t="str">
        <f>[2]Base!F47</f>
        <v>IPO</v>
      </c>
      <c r="G47" s="19" t="str">
        <f>[2]Base!G47</f>
        <v>ICVM 400</v>
      </c>
      <c r="H47" s="20">
        <f>[2]Base!X47</f>
        <v>38806</v>
      </c>
      <c r="I47" s="21">
        <f>[2]Base!W47</f>
        <v>14.5</v>
      </c>
      <c r="J47" s="22">
        <f>[2]Base!J47</f>
        <v>38810</v>
      </c>
      <c r="K47" s="23">
        <f>[2]Base!BL47</f>
        <v>7365</v>
      </c>
      <c r="L47" s="23">
        <f>[2]Base!DZ47</f>
        <v>7886</v>
      </c>
      <c r="M47" s="24">
        <f>[2]Base!AO47</f>
        <v>185600000</v>
      </c>
      <c r="N47" s="24">
        <f>[2]Base!AP47</f>
        <v>354670000</v>
      </c>
      <c r="O47" s="25">
        <f>[2]Base!AQ47</f>
        <v>540270000</v>
      </c>
      <c r="P47" s="26">
        <f>[2]Base!EF47</f>
        <v>8.6677482555018781E-2</v>
      </c>
      <c r="Q47" s="26">
        <f>[2]Base!EH47</f>
        <v>0.14472147074610842</v>
      </c>
      <c r="R47" s="26">
        <f>[2]Base!EJ47</f>
        <v>0.7664336822329576</v>
      </c>
      <c r="S47" s="27">
        <f>[2]Base!EL47</f>
        <v>2.1673644659151907E-3</v>
      </c>
    </row>
    <row r="48" spans="2:19" ht="13.2" x14ac:dyDescent="0.25">
      <c r="B48" s="18" t="str">
        <f>[2]Base!A48</f>
        <v>SARAIVA LIVR</v>
      </c>
      <c r="C48" s="19" t="str">
        <f>[2]Base!C48</f>
        <v>N2</v>
      </c>
      <c r="D48" s="19" t="str">
        <f>[2]Base!EQ48</f>
        <v>Jornais, Livros e Revistas</v>
      </c>
      <c r="E48" s="19" t="str">
        <f>[2]Base!M48</f>
        <v>Santander</v>
      </c>
      <c r="F48" s="19" t="str">
        <f>[2]Base!F48</f>
        <v>FOLLOW-ON</v>
      </c>
      <c r="G48" s="19" t="str">
        <f>[2]Base!G48</f>
        <v>ICVM 400</v>
      </c>
      <c r="H48" s="20">
        <f>[2]Base!X48</f>
        <v>38818</v>
      </c>
      <c r="I48" s="21">
        <f>[2]Base!W48</f>
        <v>22</v>
      </c>
      <c r="J48" s="22">
        <f>[2]Base!J48</f>
        <v>38820</v>
      </c>
      <c r="K48" s="23">
        <f>[2]Base!BL48</f>
        <v>5976</v>
      </c>
      <c r="L48" s="23">
        <f>[2]Base!DZ48</f>
        <v>6226</v>
      </c>
      <c r="M48" s="24">
        <f>[2]Base!AO48</f>
        <v>66000000</v>
      </c>
      <c r="N48" s="24">
        <f>[2]Base!AP48</f>
        <v>116599230</v>
      </c>
      <c r="O48" s="25">
        <f>[2]Base!AQ48</f>
        <v>182599230</v>
      </c>
      <c r="P48" s="26">
        <f>[2]Base!EF48</f>
        <v>8.3145727260507118E-2</v>
      </c>
      <c r="Q48" s="26">
        <f>[2]Base!EH48</f>
        <v>0.16557334615865185</v>
      </c>
      <c r="R48" s="26">
        <f>[2]Base!EJ48</f>
        <v>0.74989997325251612</v>
      </c>
      <c r="S48" s="27">
        <f>[2]Base!EL48</f>
        <v>1.3809533283248906E-3</v>
      </c>
    </row>
    <row r="49" spans="2:19" ht="13.2" x14ac:dyDescent="0.25">
      <c r="B49" s="18" t="str">
        <f>[2]Base!A49</f>
        <v>DURATEX</v>
      </c>
      <c r="C49" s="19" t="str">
        <f>[2]Base!C49</f>
        <v>N1</v>
      </c>
      <c r="D49" s="19" t="str">
        <f>[2]Base!EQ49</f>
        <v>Madeira</v>
      </c>
      <c r="E49" s="19" t="str">
        <f>[2]Base!M49</f>
        <v>Itaú BBA</v>
      </c>
      <c r="F49" s="19" t="str">
        <f>[2]Base!F49</f>
        <v>FOLLOW-ON</v>
      </c>
      <c r="G49" s="19" t="str">
        <f>[2]Base!G49</f>
        <v>ICVM 400</v>
      </c>
      <c r="H49" s="20">
        <f>[2]Base!X49</f>
        <v>38818</v>
      </c>
      <c r="I49" s="21">
        <f>[2]Base!W49</f>
        <v>43.5</v>
      </c>
      <c r="J49" s="22">
        <f>[2]Base!J49</f>
        <v>38820</v>
      </c>
      <c r="K49" s="23">
        <f>[2]Base!BL49</f>
        <v>4291</v>
      </c>
      <c r="L49" s="23">
        <f>[2]Base!DZ49</f>
        <v>4842</v>
      </c>
      <c r="M49" s="24">
        <f>[2]Base!AO49</f>
        <v>195750000</v>
      </c>
      <c r="N49" s="24">
        <f>[2]Base!AP49</f>
        <v>413250000</v>
      </c>
      <c r="O49" s="25">
        <f>[2]Base!AQ49</f>
        <v>609000000</v>
      </c>
      <c r="P49" s="26">
        <f>[2]Base!EF49</f>
        <v>6.1074571428571429E-2</v>
      </c>
      <c r="Q49" s="26">
        <f>[2]Base!EH49</f>
        <v>0.15003042857142856</v>
      </c>
      <c r="R49" s="26">
        <f>[2]Base!EJ49</f>
        <v>0.46428285714285716</v>
      </c>
      <c r="S49" s="27">
        <f>[2]Base!EL49</f>
        <v>0.32461214285714285</v>
      </c>
    </row>
    <row r="50" spans="2:19" ht="13.2" x14ac:dyDescent="0.25">
      <c r="B50" s="18" t="str">
        <f>[2]Base!A50</f>
        <v>SUBMARINO</v>
      </c>
      <c r="C50" s="19" t="str">
        <f>[2]Base!C50</f>
        <v>NM</v>
      </c>
      <c r="D50" s="19" t="str">
        <f>[2]Base!EQ50</f>
        <v>Produtos Diversos</v>
      </c>
      <c r="E50" s="19" t="str">
        <f>[2]Base!M50</f>
        <v>Credit Suisse</v>
      </c>
      <c r="F50" s="19" t="str">
        <f>[2]Base!F50</f>
        <v>FOLLOW-ON</v>
      </c>
      <c r="G50" s="19" t="str">
        <f>[2]Base!G50</f>
        <v>ICVM 400</v>
      </c>
      <c r="H50" s="20">
        <f>[2]Base!X50</f>
        <v>38819</v>
      </c>
      <c r="I50" s="21">
        <f>[2]Base!W50</f>
        <v>53.75</v>
      </c>
      <c r="J50" s="22">
        <f>[2]Base!J50</f>
        <v>38824</v>
      </c>
      <c r="K50" s="23">
        <f>[2]Base!BL50</f>
        <v>0</v>
      </c>
      <c r="L50" s="23">
        <f>[2]Base!DZ50</f>
        <v>140</v>
      </c>
      <c r="M50" s="24">
        <f>[2]Base!AO50</f>
        <v>291506030</v>
      </c>
      <c r="N50" s="24">
        <f>[2]Base!AP50</f>
        <v>637570890</v>
      </c>
      <c r="O50" s="25">
        <f>[2]Base!AQ50</f>
        <v>929076920</v>
      </c>
      <c r="P50" s="26">
        <f>[2]Base!EF50</f>
        <v>3.3927445066147307E-4</v>
      </c>
      <c r="Q50" s="26">
        <f>[2]Base!EH50</f>
        <v>9.9578086343737576E-2</v>
      </c>
      <c r="R50" s="26">
        <f>[2]Base!EJ50</f>
        <v>0.8999848821604951</v>
      </c>
      <c r="S50" s="27">
        <f>[2]Base!EL50</f>
        <v>9.7757045105848167E-5</v>
      </c>
    </row>
    <row r="51" spans="2:19" ht="13.2" x14ac:dyDescent="0.25">
      <c r="B51" s="18" t="str">
        <f>[2]Base!A51</f>
        <v>LOCALIZA</v>
      </c>
      <c r="C51" s="19" t="str">
        <f>[2]Base!C51</f>
        <v>NM</v>
      </c>
      <c r="D51" s="19" t="str">
        <f>[2]Base!EQ51</f>
        <v>Aluguel de Carros</v>
      </c>
      <c r="E51" s="19" t="str">
        <f>[2]Base!M51</f>
        <v>Pactual</v>
      </c>
      <c r="F51" s="19" t="str">
        <f>[2]Base!F51</f>
        <v>FOLLOW-ON</v>
      </c>
      <c r="G51" s="19" t="str">
        <f>[2]Base!G51</f>
        <v>ICVM 400</v>
      </c>
      <c r="H51" s="20">
        <f>[2]Base!X51</f>
        <v>38826</v>
      </c>
      <c r="I51" s="21">
        <f>[2]Base!W51</f>
        <v>41</v>
      </c>
      <c r="J51" s="22">
        <f>[2]Base!J51</f>
        <v>38827</v>
      </c>
      <c r="K51" s="23">
        <f>[2]Base!BL51</f>
        <v>2514</v>
      </c>
      <c r="L51" s="23">
        <f>[2]Base!DZ51</f>
        <v>2959</v>
      </c>
      <c r="M51" s="24">
        <f>[2]Base!AO51</f>
        <v>156825000</v>
      </c>
      <c r="N51" s="24">
        <f>[2]Base!AP51</f>
        <v>237214274</v>
      </c>
      <c r="O51" s="25">
        <f>[2]Base!AQ51</f>
        <v>394039274</v>
      </c>
      <c r="P51" s="26">
        <f>[2]Base!EF51</f>
        <v>8.3502224704636932E-2</v>
      </c>
      <c r="Q51" s="26">
        <f>[2]Base!EH51</f>
        <v>0.17417925452781136</v>
      </c>
      <c r="R51" s="26">
        <f>[2]Base!EJ51</f>
        <v>0.7360311627211048</v>
      </c>
      <c r="S51" s="27">
        <f>[2]Base!EL51</f>
        <v>6.287358046446913E-3</v>
      </c>
    </row>
    <row r="52" spans="2:19" ht="13.2" x14ac:dyDescent="0.25">
      <c r="B52" s="18" t="str">
        <f>[2]Base!A52</f>
        <v>ABNOTE</v>
      </c>
      <c r="C52" s="19" t="str">
        <f>[2]Base!C52</f>
        <v>NM</v>
      </c>
      <c r="D52" s="19" t="str">
        <f>[2]Base!EQ52</f>
        <v>Serviços Diversos</v>
      </c>
      <c r="E52" s="19" t="str">
        <f>[2]Base!M52</f>
        <v>UBS</v>
      </c>
      <c r="F52" s="19" t="str">
        <f>[2]Base!F52</f>
        <v>IPO</v>
      </c>
      <c r="G52" s="19" t="str">
        <f>[2]Base!G52</f>
        <v>ICVM 400</v>
      </c>
      <c r="H52" s="20">
        <f>[2]Base!X52</f>
        <v>38832</v>
      </c>
      <c r="I52" s="21">
        <f>[2]Base!W52</f>
        <v>17</v>
      </c>
      <c r="J52" s="22">
        <f>[2]Base!J52</f>
        <v>38834</v>
      </c>
      <c r="K52" s="23">
        <f>[2]Base!BL52</f>
        <v>15132</v>
      </c>
      <c r="L52" s="23">
        <f>[2]Base!DZ52</f>
        <v>16861</v>
      </c>
      <c r="M52" s="24">
        <f>[2]Base!AO52</f>
        <v>0</v>
      </c>
      <c r="N52" s="24">
        <f>[2]Base!AP52</f>
        <v>480434790</v>
      </c>
      <c r="O52" s="25">
        <f>[2]Base!AQ52</f>
        <v>480434790</v>
      </c>
      <c r="P52" s="26">
        <f>[2]Base!EF52</f>
        <v>8.4696676923076919E-2</v>
      </c>
      <c r="Q52" s="26">
        <f>[2]Base!EH52</f>
        <v>0.21285553846153846</v>
      </c>
      <c r="R52" s="26">
        <f>[2]Base!EJ52</f>
        <v>0.69714643076923077</v>
      </c>
      <c r="S52" s="27">
        <f>[2]Base!EL52</f>
        <v>5.3013538461538457E-3</v>
      </c>
    </row>
    <row r="53" spans="2:19" ht="13.2" x14ac:dyDescent="0.25">
      <c r="B53" s="18" t="str">
        <f>[2]Base!A53</f>
        <v>RANDON PART</v>
      </c>
      <c r="C53" s="19" t="str">
        <f>[2]Base!C53</f>
        <v>N1</v>
      </c>
      <c r="D53" s="19" t="str">
        <f>[2]Base!EQ53</f>
        <v>Material Rodoviário</v>
      </c>
      <c r="E53" s="19" t="str">
        <f>[2]Base!M53</f>
        <v>Santander</v>
      </c>
      <c r="F53" s="19" t="str">
        <f>[2]Base!F53</f>
        <v>FOLLOW-ON</v>
      </c>
      <c r="G53" s="19" t="str">
        <f>[2]Base!G53</f>
        <v>ICVM 400</v>
      </c>
      <c r="H53" s="20">
        <f>[2]Base!X53</f>
        <v>38833</v>
      </c>
      <c r="I53" s="21">
        <f>[2]Base!W53</f>
        <v>8.25</v>
      </c>
      <c r="J53" s="22">
        <f>[2]Base!J53</f>
        <v>38835</v>
      </c>
      <c r="K53" s="23">
        <f>[2]Base!BL53</f>
        <v>4084</v>
      </c>
      <c r="L53" s="23">
        <f>[2]Base!DZ53</f>
        <v>4335</v>
      </c>
      <c r="M53" s="24">
        <f>[2]Base!AO53</f>
        <v>99000000</v>
      </c>
      <c r="N53" s="24">
        <f>[2]Base!AP53</f>
        <v>136200207</v>
      </c>
      <c r="O53" s="25">
        <f>[2]Base!AQ53</f>
        <v>235200207</v>
      </c>
      <c r="P53" s="26">
        <f>[2]Base!EF53</f>
        <v>0.11253085449538529</v>
      </c>
      <c r="Q53" s="26">
        <f>[2]Base!EH53</f>
        <v>0.23322481290916422</v>
      </c>
      <c r="R53" s="26">
        <f>[2]Base!EJ53</f>
        <v>0.53813143054448742</v>
      </c>
      <c r="S53" s="27">
        <f>[2]Base!EL53</f>
        <v>0.11611290205096311</v>
      </c>
    </row>
    <row r="54" spans="2:19" ht="13.2" x14ac:dyDescent="0.25">
      <c r="B54" s="18" t="str">
        <f>[2]Base!A54</f>
        <v>CSU CARDSYST</v>
      </c>
      <c r="C54" s="19" t="str">
        <f>[2]Base!C54</f>
        <v>NM</v>
      </c>
      <c r="D54" s="19" t="str">
        <f>[2]Base!EQ54</f>
        <v>Serviços Diversos</v>
      </c>
      <c r="E54" s="19" t="str">
        <f>[2]Base!M54</f>
        <v>Credit Suisse</v>
      </c>
      <c r="F54" s="19" t="str">
        <f>[2]Base!F54</f>
        <v>IPO</v>
      </c>
      <c r="G54" s="19" t="str">
        <f>[2]Base!G54</f>
        <v>ICVM 400</v>
      </c>
      <c r="H54" s="20">
        <f>[2]Base!X54</f>
        <v>38834</v>
      </c>
      <c r="I54" s="21">
        <f>[2]Base!W54</f>
        <v>18</v>
      </c>
      <c r="J54" s="22">
        <f>[2]Base!J54</f>
        <v>38839</v>
      </c>
      <c r="K54" s="23">
        <f>[2]Base!BL54</f>
        <v>14362</v>
      </c>
      <c r="L54" s="23">
        <f>[2]Base!DZ54</f>
        <v>15585</v>
      </c>
      <c r="M54" s="24">
        <f>[2]Base!AO54</f>
        <v>100288746</v>
      </c>
      <c r="N54" s="24">
        <f>[2]Base!AP54</f>
        <v>240683832</v>
      </c>
      <c r="O54" s="25">
        <f>[2]Base!AQ54</f>
        <v>340972578</v>
      </c>
      <c r="P54" s="26">
        <f>[2]Base!EF54</f>
        <v>8.5677526706202378E-2</v>
      </c>
      <c r="Q54" s="26">
        <f>[2]Base!EH54</f>
        <v>0.1551682562704737</v>
      </c>
      <c r="R54" s="26">
        <f>[2]Base!EJ54</f>
        <v>0.72076162534780119</v>
      </c>
      <c r="S54" s="27">
        <f>[2]Base!EL54</f>
        <v>3.8392591675522794E-2</v>
      </c>
    </row>
    <row r="55" spans="2:19" ht="13.2" x14ac:dyDescent="0.25">
      <c r="B55" s="18" t="str">
        <f>[2]Base!A55</f>
        <v>BRASILAGRO</v>
      </c>
      <c r="C55" s="19" t="str">
        <f>[2]Base!C55</f>
        <v>NM</v>
      </c>
      <c r="D55" s="19" t="str">
        <f>[2]Base!EQ55</f>
        <v>Exploração de Imóveis</v>
      </c>
      <c r="E55" s="19" t="str">
        <f>[2]Base!M55</f>
        <v>Credit Suisse</v>
      </c>
      <c r="F55" s="19" t="str">
        <f>[2]Base!F55</f>
        <v>IPO</v>
      </c>
      <c r="G55" s="19" t="str">
        <f>[2]Base!G55</f>
        <v>ICVM 400</v>
      </c>
      <c r="H55" s="20">
        <f>[2]Base!X55</f>
        <v>38834</v>
      </c>
      <c r="I55" s="21">
        <f>[2]Base!W55</f>
        <v>1000</v>
      </c>
      <c r="J55" s="22">
        <f>[2]Base!J55</f>
        <v>38839</v>
      </c>
      <c r="K55" s="23">
        <f>[2]Base!BL55</f>
        <v>3</v>
      </c>
      <c r="L55" s="23">
        <f>[2]Base!DZ55</f>
        <v>39</v>
      </c>
      <c r="M55" s="24">
        <f>[2]Base!AO55</f>
        <v>583200000</v>
      </c>
      <c r="N55" s="24">
        <f>[2]Base!AP55</f>
        <v>0</v>
      </c>
      <c r="O55" s="25">
        <f>[2]Base!AQ55</f>
        <v>583200000</v>
      </c>
      <c r="P55" s="26">
        <f>[2]Base!EF55</f>
        <v>1.5432098765432098E-3</v>
      </c>
      <c r="Q55" s="26">
        <f>[2]Base!EH55</f>
        <v>3.137860082304527E-2</v>
      </c>
      <c r="R55" s="26">
        <f>[2]Base!EJ55</f>
        <v>0.82407407407407407</v>
      </c>
      <c r="S55" s="27">
        <f>[2]Base!EL55</f>
        <v>0.14300411522633744</v>
      </c>
    </row>
    <row r="56" spans="2:19" ht="13.2" x14ac:dyDescent="0.25">
      <c r="B56" s="18" t="str">
        <f>[2]Base!A56</f>
        <v>LUPATECH</v>
      </c>
      <c r="C56" s="19" t="str">
        <f>[2]Base!C56</f>
        <v>NM</v>
      </c>
      <c r="D56" s="19" t="str">
        <f>[2]Base!EQ56</f>
        <v>Motores, Compressores e Outros</v>
      </c>
      <c r="E56" s="19" t="str">
        <f>[2]Base!M56</f>
        <v>Pactual</v>
      </c>
      <c r="F56" s="19" t="str">
        <f>[2]Base!F56</f>
        <v>IPO</v>
      </c>
      <c r="G56" s="19" t="str">
        <f>[2]Base!G56</f>
        <v>ICVM 400</v>
      </c>
      <c r="H56" s="20">
        <f>[2]Base!X56</f>
        <v>38848</v>
      </c>
      <c r="I56" s="21">
        <f>[2]Base!W56</f>
        <v>22</v>
      </c>
      <c r="J56" s="22">
        <f>[2]Base!J56</f>
        <v>38852</v>
      </c>
      <c r="K56" s="23">
        <f>[2]Base!BL56</f>
        <v>11198</v>
      </c>
      <c r="L56" s="23">
        <f>[2]Base!DZ56</f>
        <v>12203</v>
      </c>
      <c r="M56" s="24">
        <f>[2]Base!AO56</f>
        <v>155048652</v>
      </c>
      <c r="N56" s="24">
        <f>[2]Base!AP56</f>
        <v>297691372</v>
      </c>
      <c r="O56" s="25">
        <f>[2]Base!AQ56</f>
        <v>452740024</v>
      </c>
      <c r="P56" s="26">
        <f>[2]Base!EF56</f>
        <v>7.5820524797742705E-2</v>
      </c>
      <c r="Q56" s="26">
        <f>[2]Base!EH56</f>
        <v>0.19384417844405805</v>
      </c>
      <c r="R56" s="26">
        <f>[2]Base!EJ56</f>
        <v>0.72849599784880725</v>
      </c>
      <c r="S56" s="27">
        <f>[2]Base!EL56</f>
        <v>1.8392989093919383E-3</v>
      </c>
    </row>
    <row r="57" spans="2:19" ht="13.2" x14ac:dyDescent="0.25">
      <c r="B57" s="18" t="str">
        <f>[2]Base!A57</f>
        <v>GP INVEST ¹</v>
      </c>
      <c r="C57" s="19" t="str">
        <f>[2]Base!C57</f>
        <v>BDR</v>
      </c>
      <c r="D57" s="19" t="str">
        <f>[2]Base!EQ57</f>
        <v>Holdings Diversificadas</v>
      </c>
      <c r="E57" s="19" t="str">
        <f>[2]Base!M57</f>
        <v>Credit Suisse</v>
      </c>
      <c r="F57" s="19" t="str">
        <f>[2]Base!F57</f>
        <v>IPO</v>
      </c>
      <c r="G57" s="19" t="str">
        <f>[2]Base!G57</f>
        <v>ICVM 400</v>
      </c>
      <c r="H57" s="20">
        <f>[2]Base!X57</f>
        <v>38867</v>
      </c>
      <c r="I57" s="21">
        <f>[2]Base!W57</f>
        <v>34.270000000000003</v>
      </c>
      <c r="J57" s="22">
        <f>[2]Base!J57</f>
        <v>38869</v>
      </c>
      <c r="K57" s="23">
        <f>[2]Base!BL57</f>
        <v>2356</v>
      </c>
      <c r="L57" s="23">
        <f>[2]Base!DZ57</f>
        <v>2524</v>
      </c>
      <c r="M57" s="24">
        <f>[2]Base!AO57</f>
        <v>705980848.5</v>
      </c>
      <c r="N57" s="24">
        <f>[2]Base!AP57</f>
        <v>0</v>
      </c>
      <c r="O57" s="25">
        <f>[2]Base!AQ57</f>
        <v>705980848.5</v>
      </c>
      <c r="P57" s="26">
        <f>[2]Base!EF57</f>
        <v>3.9467626944223975E-2</v>
      </c>
      <c r="Q57" s="26">
        <f>[2]Base!EH57</f>
        <v>0.17410839460209149</v>
      </c>
      <c r="R57" s="26">
        <f>[2]Base!EJ57</f>
        <v>0.75689507224490482</v>
      </c>
      <c r="S57" s="27">
        <f>[2]Base!EL57</f>
        <v>2.9528906208779539E-2</v>
      </c>
    </row>
    <row r="58" spans="2:19" ht="13.2" x14ac:dyDescent="0.25">
      <c r="B58" s="18" t="str">
        <f>[2]Base!A58</f>
        <v>DATASUL</v>
      </c>
      <c r="C58" s="19" t="str">
        <f>[2]Base!C58</f>
        <v>NM</v>
      </c>
      <c r="D58" s="19" t="str">
        <f>[2]Base!EQ58</f>
        <v>Programas e Serviços</v>
      </c>
      <c r="E58" s="19" t="str">
        <f>[2]Base!M58</f>
        <v>UBS</v>
      </c>
      <c r="F58" s="19" t="str">
        <f>[2]Base!F58</f>
        <v>IPO</v>
      </c>
      <c r="G58" s="19" t="str">
        <f>[2]Base!G58</f>
        <v>ICVM 400</v>
      </c>
      <c r="H58" s="20">
        <f>[2]Base!X58</f>
        <v>38868</v>
      </c>
      <c r="I58" s="21">
        <f>[2]Base!W58</f>
        <v>18</v>
      </c>
      <c r="J58" s="22">
        <f>[2]Base!J58</f>
        <v>38870</v>
      </c>
      <c r="K58" s="23">
        <f>[2]Base!BL58</f>
        <v>5470</v>
      </c>
      <c r="L58" s="23">
        <f>[2]Base!DZ58</f>
        <v>5973</v>
      </c>
      <c r="M58" s="24">
        <f>[2]Base!AO58</f>
        <v>150697674</v>
      </c>
      <c r="N58" s="24">
        <f>[2]Base!AP58</f>
        <v>166314834</v>
      </c>
      <c r="O58" s="25">
        <f>[2]Base!AQ58</f>
        <v>317012508</v>
      </c>
      <c r="P58" s="26">
        <f>[2]Base!EF58</f>
        <v>0.13531041986984157</v>
      </c>
      <c r="Q58" s="26">
        <f>[2]Base!EH58</f>
        <v>0.13003502633668229</v>
      </c>
      <c r="R58" s="26">
        <f>[2]Base!EJ58</f>
        <v>0.71698253874368112</v>
      </c>
      <c r="S58" s="27">
        <f>[2]Base!EL58</f>
        <v>1.7672015049795001E-2</v>
      </c>
    </row>
    <row r="59" spans="2:19" ht="13.2" x14ac:dyDescent="0.25">
      <c r="B59" s="18" t="str">
        <f>[2]Base!A59</f>
        <v>PORTO SEGURO</v>
      </c>
      <c r="C59" s="19" t="str">
        <f>[2]Base!C59</f>
        <v>NM</v>
      </c>
      <c r="D59" s="19" t="str">
        <f>[2]Base!EQ59</f>
        <v>Seguradoras</v>
      </c>
      <c r="E59" s="19" t="str">
        <f>[2]Base!M59</f>
        <v>Pactual</v>
      </c>
      <c r="F59" s="19" t="str">
        <f>[2]Base!F59</f>
        <v>FOLLOW-ON</v>
      </c>
      <c r="G59" s="19" t="str">
        <f>[2]Base!G59</f>
        <v>ICVM 400</v>
      </c>
      <c r="H59" s="20">
        <f>[2]Base!X59</f>
        <v>38881</v>
      </c>
      <c r="I59" s="21">
        <f>[2]Base!W59</f>
        <v>33.5</v>
      </c>
      <c r="J59" s="22">
        <f>[2]Base!J59</f>
        <v>38882</v>
      </c>
      <c r="K59" s="23">
        <f>[2]Base!BL59</f>
        <v>272</v>
      </c>
      <c r="L59" s="23">
        <f>[2]Base!DZ59</f>
        <v>350</v>
      </c>
      <c r="M59" s="24">
        <f>[2]Base!AO59</f>
        <v>0</v>
      </c>
      <c r="N59" s="24">
        <f>[2]Base!AP59</f>
        <v>201000000</v>
      </c>
      <c r="O59" s="25">
        <f>[2]Base!AQ59</f>
        <v>201000000</v>
      </c>
      <c r="P59" s="26">
        <f>[2]Base!EF59</f>
        <v>3.1793166666666664E-2</v>
      </c>
      <c r="Q59" s="26">
        <f>[2]Base!EH59</f>
        <v>0.42966833333333332</v>
      </c>
      <c r="R59" s="26">
        <f>[2]Base!EJ59</f>
        <v>0.5383</v>
      </c>
      <c r="S59" s="27">
        <f>[2]Base!EL59</f>
        <v>2.385E-4</v>
      </c>
    </row>
    <row r="60" spans="2:19" ht="13.2" x14ac:dyDescent="0.25">
      <c r="B60" s="18" t="str">
        <f>[2]Base!A60</f>
        <v>BRASIL</v>
      </c>
      <c r="C60" s="19" t="str">
        <f>[2]Base!C60</f>
        <v>NM</v>
      </c>
      <c r="D60" s="19" t="str">
        <f>[2]Base!EQ60</f>
        <v>Bancos</v>
      </c>
      <c r="E60" s="19" t="str">
        <f>[2]Base!M60</f>
        <v>BB Investimentos</v>
      </c>
      <c r="F60" s="19" t="str">
        <f>[2]Base!F60</f>
        <v>FOLLOW-ON</v>
      </c>
      <c r="G60" s="19" t="str">
        <f>[2]Base!G60</f>
        <v>ICVM 400</v>
      </c>
      <c r="H60" s="20">
        <f>[2]Base!X60</f>
        <v>38894</v>
      </c>
      <c r="I60" s="21">
        <f>[2]Base!W60</f>
        <v>43.5</v>
      </c>
      <c r="J60" s="22">
        <f>[2]Base!J60</f>
        <v>38896</v>
      </c>
      <c r="K60" s="23">
        <f>[2]Base!BL60</f>
        <v>48602</v>
      </c>
      <c r="L60" s="23">
        <f>[2]Base!DZ60</f>
        <v>52923</v>
      </c>
      <c r="M60" s="24">
        <f>[2]Base!AO60</f>
        <v>0</v>
      </c>
      <c r="N60" s="24">
        <f>[2]Base!AP60</f>
        <v>2273208949.5</v>
      </c>
      <c r="O60" s="25">
        <f>[2]Base!AQ60</f>
        <v>2273208949.5</v>
      </c>
      <c r="P60" s="26">
        <f>[2]Base!EF60</f>
        <v>0.28020221794397787</v>
      </c>
      <c r="Q60" s="26">
        <f>[2]Base!EH60</f>
        <v>0.1857223963476218</v>
      </c>
      <c r="R60" s="26">
        <f>[2]Base!EJ60</f>
        <v>0.5086859678052662</v>
      </c>
      <c r="S60" s="27">
        <f>[2]Base!EL60</f>
        <v>2.5389417903134117E-2</v>
      </c>
    </row>
    <row r="61" spans="2:19" ht="13.2" x14ac:dyDescent="0.25">
      <c r="B61" s="18" t="str">
        <f>[2]Base!A61</f>
        <v>CYRELA REALT</v>
      </c>
      <c r="C61" s="19" t="str">
        <f>[2]Base!C61</f>
        <v>NM</v>
      </c>
      <c r="D61" s="19" t="str">
        <f>[2]Base!EQ61</f>
        <v>Construção Civil</v>
      </c>
      <c r="E61" s="19" t="str">
        <f>[2]Base!M61</f>
        <v>Credit Suisse</v>
      </c>
      <c r="F61" s="19" t="str">
        <f>[2]Base!F61</f>
        <v>FOLLOW-ON</v>
      </c>
      <c r="G61" s="19" t="str">
        <f>[2]Base!G61</f>
        <v>ICVM 400</v>
      </c>
      <c r="H61" s="20">
        <f>[2]Base!X61</f>
        <v>38917</v>
      </c>
      <c r="I61" s="21">
        <f>[2]Base!W61</f>
        <v>29.5</v>
      </c>
      <c r="J61" s="22">
        <f>[2]Base!J61</f>
        <v>38919</v>
      </c>
      <c r="K61" s="23">
        <f>[2]Base!BL61</f>
        <v>1283</v>
      </c>
      <c r="L61" s="23">
        <f>[2]Base!DZ61</f>
        <v>1778</v>
      </c>
      <c r="M61" s="24">
        <f>[2]Base!AO61</f>
        <v>728650000</v>
      </c>
      <c r="N61" s="24">
        <f>[2]Base!AP61</f>
        <v>109297500</v>
      </c>
      <c r="O61" s="25">
        <f>[2]Base!AQ61</f>
        <v>837947500</v>
      </c>
      <c r="P61" s="26">
        <f>[2]Base!EF61</f>
        <v>3.8783664847738077E-2</v>
      </c>
      <c r="Q61" s="26">
        <f>[2]Base!EH61</f>
        <v>0.20289628586516459</v>
      </c>
      <c r="R61" s="26">
        <f>[2]Base!EJ61</f>
        <v>0.75482721351874671</v>
      </c>
      <c r="S61" s="27">
        <f>[2]Base!EL61</f>
        <v>3.4928357683506423E-3</v>
      </c>
    </row>
    <row r="62" spans="2:19" ht="13.2" x14ac:dyDescent="0.25">
      <c r="B62" s="18" t="str">
        <f>[2]Base!A62</f>
        <v>MMX MINER</v>
      </c>
      <c r="C62" s="19" t="str">
        <f>[2]Base!C62</f>
        <v>NM</v>
      </c>
      <c r="D62" s="19" t="str">
        <f>[2]Base!EQ62</f>
        <v>Minerais Metálicos</v>
      </c>
      <c r="E62" s="19" t="str">
        <f>[2]Base!M62</f>
        <v>Pactual</v>
      </c>
      <c r="F62" s="19" t="str">
        <f>[2]Base!F62</f>
        <v>IPO</v>
      </c>
      <c r="G62" s="19" t="str">
        <f>[2]Base!G62</f>
        <v>ICVM 400</v>
      </c>
      <c r="H62" s="20">
        <f>[2]Base!X62</f>
        <v>38918</v>
      </c>
      <c r="I62" s="21">
        <f>[2]Base!W62</f>
        <v>815</v>
      </c>
      <c r="J62" s="22">
        <f>[2]Base!J62</f>
        <v>38922</v>
      </c>
      <c r="K62" s="23">
        <f>[2]Base!BL62</f>
        <v>17</v>
      </c>
      <c r="L62" s="23">
        <f>[2]Base!DZ62</f>
        <v>110</v>
      </c>
      <c r="M62" s="24">
        <f>[2]Base!AO62</f>
        <v>1118895570</v>
      </c>
      <c r="N62" s="24">
        <f>[2]Base!AP62</f>
        <v>0</v>
      </c>
      <c r="O62" s="25">
        <f>[2]Base!AQ62</f>
        <v>1118895570</v>
      </c>
      <c r="P62" s="26">
        <f>[2]Base!EF62</f>
        <v>4.2011655823986317E-3</v>
      </c>
      <c r="Q62" s="26">
        <f>[2]Base!EH62</f>
        <v>0.1100774254155366</v>
      </c>
      <c r="R62" s="26">
        <f>[2]Base!EJ62</f>
        <v>0.75777318940094129</v>
      </c>
      <c r="S62" s="27">
        <f>[2]Base!EL62</f>
        <v>0.12794821960112343</v>
      </c>
    </row>
    <row r="63" spans="2:19" ht="13.2" x14ac:dyDescent="0.25">
      <c r="B63" s="18" t="str">
        <f>[2]Base!A63</f>
        <v>ABYARA</v>
      </c>
      <c r="C63" s="19" t="str">
        <f>[2]Base!C63</f>
        <v>NM</v>
      </c>
      <c r="D63" s="19" t="str">
        <f>[2]Base!EQ63</f>
        <v>Construção Civil</v>
      </c>
      <c r="E63" s="19" t="str">
        <f>[2]Base!M63</f>
        <v>Morgan Stanley</v>
      </c>
      <c r="F63" s="19" t="str">
        <f>[2]Base!F63</f>
        <v>IPO</v>
      </c>
      <c r="G63" s="19" t="str">
        <f>[2]Base!G63</f>
        <v>ICVM 400</v>
      </c>
      <c r="H63" s="20">
        <f>[2]Base!X63</f>
        <v>38923</v>
      </c>
      <c r="I63" s="21">
        <f>[2]Base!W63</f>
        <v>25</v>
      </c>
      <c r="J63" s="22">
        <f>[2]Base!J63</f>
        <v>38925</v>
      </c>
      <c r="K63" s="23">
        <f>[2]Base!BL63</f>
        <v>6</v>
      </c>
      <c r="L63" s="23">
        <f>[2]Base!DZ63</f>
        <v>37</v>
      </c>
      <c r="M63" s="24">
        <f>[2]Base!AO63</f>
        <v>163770250</v>
      </c>
      <c r="N63" s="24">
        <f>[2]Base!AP63</f>
        <v>0</v>
      </c>
      <c r="O63" s="25">
        <f>[2]Base!AQ63</f>
        <v>163770250</v>
      </c>
      <c r="P63" s="26">
        <f>[2]Base!EF63</f>
        <v>1.1062237531129828E-2</v>
      </c>
      <c r="Q63" s="26">
        <f>[2]Base!EH63</f>
        <v>3.5952271976171943E-2</v>
      </c>
      <c r="R63" s="26">
        <f>[2]Base!EJ63</f>
        <v>0.83197014302090344</v>
      </c>
      <c r="S63" s="27">
        <f>[2]Base!EL63</f>
        <v>0.12101534747179475</v>
      </c>
    </row>
    <row r="64" spans="2:19" ht="13.2" x14ac:dyDescent="0.25">
      <c r="B64" s="18" t="str">
        <f>[2]Base!A64</f>
        <v>CESP</v>
      </c>
      <c r="C64" s="19" t="str">
        <f>[2]Base!C64</f>
        <v>N1</v>
      </c>
      <c r="D64" s="19" t="str">
        <f>[2]Base!EQ64</f>
        <v>Energia Elétrica</v>
      </c>
      <c r="E64" s="19" t="str">
        <f>[2]Base!M64</f>
        <v>UBS</v>
      </c>
      <c r="F64" s="19" t="str">
        <f>[2]Base!F64</f>
        <v>FOLLOW-ON</v>
      </c>
      <c r="G64" s="19" t="str">
        <f>[2]Base!G64</f>
        <v>ICVM 400</v>
      </c>
      <c r="H64" s="20">
        <f>[2]Base!X64</f>
        <v>38925</v>
      </c>
      <c r="I64" s="21">
        <f>[2]Base!W64</f>
        <v>1.4500000000000001E-2</v>
      </c>
      <c r="J64" s="22">
        <f>[2]Base!J64</f>
        <v>38926</v>
      </c>
      <c r="K64" s="23">
        <f>[2]Base!BL64</f>
        <v>3036</v>
      </c>
      <c r="L64" s="23">
        <f>[2]Base!DZ64</f>
        <v>4049</v>
      </c>
      <c r="M64" s="24">
        <f>[2]Base!AO64</f>
        <v>3199999999.9794998</v>
      </c>
      <c r="N64" s="24">
        <f>[2]Base!AP64</f>
        <v>0</v>
      </c>
      <c r="O64" s="25">
        <f>[2]Base!AQ64</f>
        <v>3199999999.9794998</v>
      </c>
      <c r="P64" s="26">
        <f>[2]Base!EF64</f>
        <v>2.415954203140477E-2</v>
      </c>
      <c r="Q64" s="26">
        <f>[2]Base!EH64</f>
        <v>0.25403699986100237</v>
      </c>
      <c r="R64" s="26">
        <f>[2]Base!EJ64</f>
        <v>0.30451281029882576</v>
      </c>
      <c r="S64" s="27">
        <f>[2]Base!EL64</f>
        <v>0.41729064780876701</v>
      </c>
    </row>
    <row r="65" spans="2:19" ht="13.2" x14ac:dyDescent="0.25">
      <c r="B65" s="18" t="str">
        <f>[2]Base!A65</f>
        <v>MEDIAL SAUDE</v>
      </c>
      <c r="C65" s="19" t="str">
        <f>[2]Base!C65</f>
        <v>NM</v>
      </c>
      <c r="D65" s="19" t="str">
        <f>[2]Base!EQ65</f>
        <v>Serv. Méd. Hospit., Análises e Diagnósticos</v>
      </c>
      <c r="E65" s="19" t="str">
        <f>[2]Base!M65</f>
        <v>Credit Suisse</v>
      </c>
      <c r="F65" s="19" t="str">
        <f>[2]Base!F65</f>
        <v>IPO</v>
      </c>
      <c r="G65" s="19" t="str">
        <f>[2]Base!G65</f>
        <v>ICVM 400</v>
      </c>
      <c r="H65" s="20">
        <f>[2]Base!X65</f>
        <v>38980</v>
      </c>
      <c r="I65" s="21">
        <f>[2]Base!W65</f>
        <v>21.5</v>
      </c>
      <c r="J65" s="22">
        <f>[2]Base!J65</f>
        <v>38982</v>
      </c>
      <c r="K65" s="23">
        <f>[2]Base!BL65</f>
        <v>3061</v>
      </c>
      <c r="L65" s="23">
        <f>[2]Base!DZ65</f>
        <v>3596</v>
      </c>
      <c r="M65" s="24">
        <f>[2]Base!AO65</f>
        <v>474075000</v>
      </c>
      <c r="N65" s="24">
        <f>[2]Base!AP65</f>
        <v>268212328</v>
      </c>
      <c r="O65" s="25">
        <f>[2]Base!AQ65</f>
        <v>742287328</v>
      </c>
      <c r="P65" s="26">
        <f>[2]Base!EF65</f>
        <v>6.8844331665594588E-2</v>
      </c>
      <c r="Q65" s="26">
        <f>[2]Base!EH65</f>
        <v>0.16694425302111585</v>
      </c>
      <c r="R65" s="26">
        <f>[2]Base!EJ65</f>
        <v>0.75879727937373598</v>
      </c>
      <c r="S65" s="27">
        <f>[2]Base!EL65</f>
        <v>5.4141359395535847E-3</v>
      </c>
    </row>
    <row r="66" spans="2:19" ht="13.2" x14ac:dyDescent="0.25">
      <c r="B66" s="18" t="str">
        <f>[2]Base!A66</f>
        <v>ELETROPAULO</v>
      </c>
      <c r="C66" s="19" t="str">
        <f>[2]Base!C66</f>
        <v>N2</v>
      </c>
      <c r="D66" s="19" t="str">
        <f>[2]Base!EQ66</f>
        <v>Energia Elétrica</v>
      </c>
      <c r="E66" s="19" t="str">
        <f>[2]Base!M66</f>
        <v>Credit Suisse</v>
      </c>
      <c r="F66" s="19" t="str">
        <f>[2]Base!F66</f>
        <v>FOLLOW-ON</v>
      </c>
      <c r="G66" s="19" t="str">
        <f>[2]Base!G66</f>
        <v>ICVM 400</v>
      </c>
      <c r="H66" s="20">
        <f>[2]Base!X66</f>
        <v>38981</v>
      </c>
      <c r="I66" s="21">
        <f>[2]Base!W66</f>
        <v>8.5000000000000006E-2</v>
      </c>
      <c r="J66" s="22">
        <f>[2]Base!J66</f>
        <v>38985</v>
      </c>
      <c r="K66" s="23">
        <f>[2]Base!BL66</f>
        <v>3660</v>
      </c>
      <c r="L66" s="23">
        <f>[2]Base!DZ66</f>
        <v>4478</v>
      </c>
      <c r="M66" s="24">
        <f>[2]Base!AO66</f>
        <v>0</v>
      </c>
      <c r="N66" s="24">
        <f>[2]Base!AP66</f>
        <v>1345481065</v>
      </c>
      <c r="O66" s="25">
        <f>[2]Base!AQ66</f>
        <v>1345481065</v>
      </c>
      <c r="P66" s="26">
        <f>[2]Base!EF66</f>
        <v>8.8191378598107578E-2</v>
      </c>
      <c r="Q66" s="26">
        <f>[2]Base!EH66</f>
        <v>0.3037705831296853</v>
      </c>
      <c r="R66" s="26">
        <f>[2]Base!EJ66</f>
        <v>0.60090558189683629</v>
      </c>
      <c r="S66" s="27">
        <f>[2]Base!EL66</f>
        <v>7.1324563753708417E-3</v>
      </c>
    </row>
    <row r="67" spans="2:19" ht="13.2" x14ac:dyDescent="0.25">
      <c r="B67" s="18" t="str">
        <f>[2]Base!A67</f>
        <v>KLABINSEGALL</v>
      </c>
      <c r="C67" s="19" t="str">
        <f>[2]Base!C67</f>
        <v>NM</v>
      </c>
      <c r="D67" s="19" t="str">
        <f>[2]Base!EQ67</f>
        <v>Construção Civil</v>
      </c>
      <c r="E67" s="19" t="str">
        <f>[2]Base!M67</f>
        <v>Deutsche Bank</v>
      </c>
      <c r="F67" s="19" t="str">
        <f>[2]Base!F67</f>
        <v>IPO</v>
      </c>
      <c r="G67" s="19" t="str">
        <f>[2]Base!G67</f>
        <v>ICVM 400</v>
      </c>
      <c r="H67" s="20">
        <f>[2]Base!X67</f>
        <v>38995</v>
      </c>
      <c r="I67" s="21">
        <f>[2]Base!W67</f>
        <v>15</v>
      </c>
      <c r="J67" s="22">
        <f>[2]Base!J67</f>
        <v>38999</v>
      </c>
      <c r="K67" s="23">
        <f>[2]Base!BL67</f>
        <v>4624</v>
      </c>
      <c r="L67" s="23">
        <f>[2]Base!DZ67</f>
        <v>5131</v>
      </c>
      <c r="M67" s="24">
        <f>[2]Base!AO67</f>
        <v>360573750</v>
      </c>
      <c r="N67" s="24">
        <f>[2]Base!AP67</f>
        <v>166773750</v>
      </c>
      <c r="O67" s="25">
        <f>[2]Base!AQ67</f>
        <v>527347500</v>
      </c>
      <c r="P67" s="26">
        <f>[2]Base!EF67</f>
        <v>8.6502840220756494E-2</v>
      </c>
      <c r="Q67" s="26">
        <f>[2]Base!EH67</f>
        <v>0.2590074034190335</v>
      </c>
      <c r="R67" s="26">
        <f>[2]Base!EJ67</f>
        <v>0.65090281329923272</v>
      </c>
      <c r="S67" s="27">
        <f>[2]Base!EL67</f>
        <v>3.5869430609772514E-3</v>
      </c>
    </row>
    <row r="68" spans="2:19" ht="13.2" x14ac:dyDescent="0.25">
      <c r="B68" s="18" t="str">
        <f>[2]Base!A68</f>
        <v>SANTOS BRAS</v>
      </c>
      <c r="C68" s="19" t="str">
        <f>[2]Base!C68</f>
        <v>N2</v>
      </c>
      <c r="D68" s="19" t="str">
        <f>[2]Base!EQ68</f>
        <v>Serviços de Apoio e Armazenagem</v>
      </c>
      <c r="E68" s="19" t="str">
        <f>[2]Base!M68</f>
        <v>Credit Suisse</v>
      </c>
      <c r="F68" s="19" t="str">
        <f>[2]Base!F68</f>
        <v>IPO</v>
      </c>
      <c r="G68" s="19" t="str">
        <f>[2]Base!G68</f>
        <v>ICVM 400</v>
      </c>
      <c r="H68" s="20">
        <f>[2]Base!X68</f>
        <v>39000</v>
      </c>
      <c r="I68" s="21">
        <f>[2]Base!W68</f>
        <v>23</v>
      </c>
      <c r="J68" s="22">
        <f>[2]Base!J68</f>
        <v>39003</v>
      </c>
      <c r="K68" s="23">
        <f>[2]Base!BL68</f>
        <v>4209</v>
      </c>
      <c r="L68" s="23">
        <f>[2]Base!DZ68</f>
        <v>4873</v>
      </c>
      <c r="M68" s="24">
        <f>[2]Base!AO68</f>
        <v>924968759</v>
      </c>
      <c r="N68" s="24">
        <f>[2]Base!AP68</f>
        <v>8433341</v>
      </c>
      <c r="O68" s="25">
        <f>[2]Base!AQ68</f>
        <v>933402100</v>
      </c>
      <c r="P68" s="26">
        <f>[2]Base!EF68</f>
        <v>8.4064428925433657E-2</v>
      </c>
      <c r="Q68" s="26">
        <f>[2]Base!EH68</f>
        <v>0.1400592120083945</v>
      </c>
      <c r="R68" s="26">
        <f>[2]Base!EJ68</f>
        <v>0.77116885026262438</v>
      </c>
      <c r="S68" s="27">
        <f>[2]Base!EL68</f>
        <v>4.7075088035475037E-3</v>
      </c>
    </row>
    <row r="69" spans="2:19" ht="13.2" x14ac:dyDescent="0.25">
      <c r="B69" s="18" t="str">
        <f>[2]Base!A69</f>
        <v>M.DIASBRANCO</v>
      </c>
      <c r="C69" s="19" t="str">
        <f>[2]Base!C69</f>
        <v>NM</v>
      </c>
      <c r="D69" s="19" t="str">
        <f>[2]Base!EQ69</f>
        <v>Alimentos Diversos</v>
      </c>
      <c r="E69" s="19" t="str">
        <f>[2]Base!M69</f>
        <v>Pactual</v>
      </c>
      <c r="F69" s="19" t="str">
        <f>[2]Base!F69</f>
        <v>IPO</v>
      </c>
      <c r="G69" s="19" t="str">
        <f>[2]Base!G69</f>
        <v>ICVM 400</v>
      </c>
      <c r="H69" s="20">
        <f>[2]Base!X69</f>
        <v>39006</v>
      </c>
      <c r="I69" s="21">
        <f>[2]Base!W69</f>
        <v>21</v>
      </c>
      <c r="J69" s="22">
        <f>[2]Base!J69</f>
        <v>39008</v>
      </c>
      <c r="K69" s="23">
        <f>[2]Base!BL69</f>
        <v>3363</v>
      </c>
      <c r="L69" s="23">
        <f>[2]Base!DZ69</f>
        <v>3737</v>
      </c>
      <c r="M69" s="24">
        <f>[2]Base!AO69</f>
        <v>0</v>
      </c>
      <c r="N69" s="24">
        <f>[2]Base!AP69</f>
        <v>410766300</v>
      </c>
      <c r="O69" s="25">
        <f>[2]Base!AQ69</f>
        <v>410766300</v>
      </c>
      <c r="P69" s="26">
        <f>[2]Base!EF69</f>
        <v>8.4262434984598289E-2</v>
      </c>
      <c r="Q69" s="26">
        <f>[2]Base!EH69</f>
        <v>0.20212790991263949</v>
      </c>
      <c r="R69" s="26">
        <f>[2]Base!EJ69</f>
        <v>0.70858203302529921</v>
      </c>
      <c r="S69" s="27">
        <f>[2]Base!EL69</f>
        <v>5.0276220774630107E-3</v>
      </c>
    </row>
    <row r="70" spans="2:19" ht="13.2" x14ac:dyDescent="0.25">
      <c r="B70" s="18" t="str">
        <f>[2]Base!A70</f>
        <v>PERDIGAO S/A</v>
      </c>
      <c r="C70" s="19" t="str">
        <f>[2]Base!C70</f>
        <v>NM</v>
      </c>
      <c r="D70" s="19" t="str">
        <f>[2]Base!EQ70</f>
        <v>Carnes e Derivados</v>
      </c>
      <c r="E70" s="19" t="str">
        <f>[2]Base!M70</f>
        <v>Credit Suisse</v>
      </c>
      <c r="F70" s="19" t="str">
        <f>[2]Base!F70</f>
        <v>FOLLOW-ON</v>
      </c>
      <c r="G70" s="19" t="str">
        <f>[2]Base!G70</f>
        <v>ICVM 400</v>
      </c>
      <c r="H70" s="20">
        <f>[2]Base!X70</f>
        <v>39016</v>
      </c>
      <c r="I70" s="21">
        <f>[2]Base!W70</f>
        <v>25</v>
      </c>
      <c r="J70" s="22">
        <f>[2]Base!J70</f>
        <v>39017</v>
      </c>
      <c r="K70" s="23">
        <f>[2]Base!BL70</f>
        <v>4212</v>
      </c>
      <c r="L70" s="23">
        <f>[2]Base!DZ70</f>
        <v>4917</v>
      </c>
      <c r="M70" s="24">
        <f>[2]Base!AO70</f>
        <v>800000000</v>
      </c>
      <c r="N70" s="24">
        <f>[2]Base!AP70</f>
        <v>0</v>
      </c>
      <c r="O70" s="25">
        <f>[2]Base!AQ70</f>
        <v>800000000</v>
      </c>
      <c r="P70" s="26">
        <f>[2]Base!EF70</f>
        <v>7.4491956521739136E-2</v>
      </c>
      <c r="Q70" s="26">
        <f>[2]Base!EH70</f>
        <v>0.14214073369565217</v>
      </c>
      <c r="R70" s="26">
        <f>[2]Base!EJ70</f>
        <v>0.47463559782608694</v>
      </c>
      <c r="S70" s="27">
        <f>[2]Base!EL70</f>
        <v>0.30873171195652171</v>
      </c>
    </row>
    <row r="71" spans="2:19" ht="13.2" x14ac:dyDescent="0.25">
      <c r="B71" s="18" t="str">
        <f>[2]Base!A71</f>
        <v>BRASCAN RES</v>
      </c>
      <c r="C71" s="19" t="str">
        <f>[2]Base!C71</f>
        <v>NM</v>
      </c>
      <c r="D71" s="19" t="str">
        <f>[2]Base!EQ71</f>
        <v>Construção Civil</v>
      </c>
      <c r="E71" s="19" t="str">
        <f>[2]Base!M71</f>
        <v>Credit Suisse</v>
      </c>
      <c r="F71" s="19" t="str">
        <f>[2]Base!F71</f>
        <v>IPO</v>
      </c>
      <c r="G71" s="19" t="str">
        <f>[2]Base!G71</f>
        <v>ICVM 400</v>
      </c>
      <c r="H71" s="20">
        <f>[2]Base!X71</f>
        <v>39009</v>
      </c>
      <c r="I71" s="21">
        <f>[2]Base!W71</f>
        <v>16</v>
      </c>
      <c r="J71" s="22">
        <f>[2]Base!J71</f>
        <v>39013</v>
      </c>
      <c r="K71" s="23">
        <f>[2]Base!BL71</f>
        <v>4272</v>
      </c>
      <c r="L71" s="23">
        <f>[2]Base!DZ71</f>
        <v>4735</v>
      </c>
      <c r="M71" s="24">
        <f>[2]Base!AO71</f>
        <v>940000000</v>
      </c>
      <c r="N71" s="24">
        <f>[2]Base!AP71</f>
        <v>248000000</v>
      </c>
      <c r="O71" s="25">
        <f>[2]Base!AQ71</f>
        <v>1188000000</v>
      </c>
      <c r="P71" s="26">
        <f>[2]Base!EF71</f>
        <v>7.0529252525252523E-2</v>
      </c>
      <c r="Q71" s="26">
        <f>[2]Base!EH71</f>
        <v>5.0653804713804713E-2</v>
      </c>
      <c r="R71" s="26">
        <f>[2]Base!EJ71</f>
        <v>0.87445925925925927</v>
      </c>
      <c r="S71" s="27">
        <f>[2]Base!EL71</f>
        <v>4.3576835016835014E-3</v>
      </c>
    </row>
    <row r="72" spans="2:19" ht="13.2" x14ac:dyDescent="0.25">
      <c r="B72" s="18" t="str">
        <f>[2]Base!A72</f>
        <v>PROFARMA</v>
      </c>
      <c r="C72" s="19" t="str">
        <f>[2]Base!C72</f>
        <v>NM</v>
      </c>
      <c r="D72" s="19" t="str">
        <f>[2]Base!EQ72</f>
        <v>Medicamentos</v>
      </c>
      <c r="E72" s="19" t="str">
        <f>[2]Base!M72</f>
        <v>Credit Suisse</v>
      </c>
      <c r="F72" s="19" t="str">
        <f>[2]Base!F72</f>
        <v>IPO</v>
      </c>
      <c r="G72" s="19" t="str">
        <f>[2]Base!G72</f>
        <v>ICVM 400</v>
      </c>
      <c r="H72" s="20">
        <f>[2]Base!X72</f>
        <v>39014</v>
      </c>
      <c r="I72" s="21">
        <f>[2]Base!W72</f>
        <v>22.5</v>
      </c>
      <c r="J72" s="22">
        <f>[2]Base!J72</f>
        <v>39016</v>
      </c>
      <c r="K72" s="23">
        <f>[2]Base!BL72</f>
        <v>4514</v>
      </c>
      <c r="L72" s="23">
        <f>[2]Base!DZ72</f>
        <v>4995</v>
      </c>
      <c r="M72" s="24">
        <f>[2]Base!AO72</f>
        <v>310500000</v>
      </c>
      <c r="N72" s="24">
        <f>[2]Base!AP72</f>
        <v>90562500</v>
      </c>
      <c r="O72" s="25">
        <f>[2]Base!AQ72</f>
        <v>401062500</v>
      </c>
      <c r="P72" s="26">
        <f>[2]Base!EF72</f>
        <v>8.9045049088359043E-2</v>
      </c>
      <c r="Q72" s="26">
        <f>[2]Base!EH72</f>
        <v>0.20718092566619917</v>
      </c>
      <c r="R72" s="26">
        <f>[2]Base!EJ72</f>
        <v>0.70000706872370266</v>
      </c>
      <c r="S72" s="27">
        <f>[2]Base!EL72</f>
        <v>3.7669565217391303E-3</v>
      </c>
    </row>
    <row r="73" spans="2:19" ht="13.2" x14ac:dyDescent="0.25">
      <c r="B73" s="18" t="str">
        <f>[2]Base!A73</f>
        <v>TERNA PART</v>
      </c>
      <c r="C73" s="19" t="str">
        <f>[2]Base!C73</f>
        <v>N2</v>
      </c>
      <c r="D73" s="19" t="str">
        <f>[2]Base!EQ73</f>
        <v>Energia Elétrica</v>
      </c>
      <c r="E73" s="19" t="str">
        <f>[2]Base!M73</f>
        <v>Itaú BBA</v>
      </c>
      <c r="F73" s="19" t="str">
        <f>[2]Base!F73</f>
        <v>IPO</v>
      </c>
      <c r="G73" s="19" t="str">
        <f>[2]Base!G73</f>
        <v>ICVM 400</v>
      </c>
      <c r="H73" s="20">
        <f>[2]Base!X73</f>
        <v>39015</v>
      </c>
      <c r="I73" s="21">
        <f>[2]Base!W73</f>
        <v>21</v>
      </c>
      <c r="J73" s="22">
        <f>[2]Base!J73</f>
        <v>39017</v>
      </c>
      <c r="K73" s="23">
        <f>[2]Base!BL73</f>
        <v>6258</v>
      </c>
      <c r="L73" s="23">
        <f>[2]Base!DZ73</f>
        <v>7326</v>
      </c>
      <c r="M73" s="24">
        <f>[2]Base!AO73</f>
        <v>371360304</v>
      </c>
      <c r="N73" s="24">
        <f>[2]Base!AP73</f>
        <v>255310209</v>
      </c>
      <c r="O73" s="25">
        <f>[2]Base!AQ73</f>
        <v>626670513</v>
      </c>
      <c r="P73" s="26">
        <f>[2]Base!EF73</f>
        <v>7.8950110103552934E-2</v>
      </c>
      <c r="Q73" s="26">
        <f>[2]Base!EH73</f>
        <v>0.23453110677955258</v>
      </c>
      <c r="R73" s="26">
        <f>[2]Base!EJ73</f>
        <v>0.64922140352884294</v>
      </c>
      <c r="S73" s="27">
        <f>[2]Base!EL73</f>
        <v>3.7297379588051557E-2</v>
      </c>
    </row>
    <row r="74" spans="2:19" ht="13.2" x14ac:dyDescent="0.25">
      <c r="B74" s="18" t="str">
        <f>[2]Base!A74</f>
        <v>ECODIESEL</v>
      </c>
      <c r="C74" s="19" t="str">
        <f>[2]Base!C74</f>
        <v>NM</v>
      </c>
      <c r="D74" s="19" t="str">
        <f>[2]Base!EQ74</f>
        <v>Exploração e/ou Refino</v>
      </c>
      <c r="E74" s="19" t="str">
        <f>[2]Base!M74</f>
        <v>Banco Fator</v>
      </c>
      <c r="F74" s="19" t="str">
        <f>[2]Base!F74</f>
        <v>IPO</v>
      </c>
      <c r="G74" s="19" t="str">
        <f>[2]Base!G74</f>
        <v>ICVM 400</v>
      </c>
      <c r="H74" s="20">
        <f>[2]Base!X74</f>
        <v>39030</v>
      </c>
      <c r="I74" s="21">
        <f>[2]Base!W74</f>
        <v>12</v>
      </c>
      <c r="J74" s="22">
        <f>[2]Base!J74</f>
        <v>39043</v>
      </c>
      <c r="K74" s="23">
        <f>[2]Base!BL74</f>
        <v>9315</v>
      </c>
      <c r="L74" s="23">
        <f>[2]Base!DZ74</f>
        <v>9841</v>
      </c>
      <c r="M74" s="24">
        <f>[2]Base!AO74</f>
        <v>378932220</v>
      </c>
      <c r="N74" s="24">
        <f>[2]Base!AP74</f>
        <v>0</v>
      </c>
      <c r="O74" s="25">
        <f>[2]Base!AQ74</f>
        <v>378932220</v>
      </c>
      <c r="P74" s="26">
        <f>[2]Base!EF74</f>
        <v>8.6182270104504452E-2</v>
      </c>
      <c r="Q74" s="26">
        <f>[2]Base!EH74</f>
        <v>0.23107584202900358</v>
      </c>
      <c r="R74" s="26">
        <f>[2]Base!EJ74</f>
        <v>0.59089254472689401</v>
      </c>
      <c r="S74" s="27">
        <f>[2]Base!EL74</f>
        <v>9.1849343139598E-2</v>
      </c>
    </row>
    <row r="75" spans="2:19" ht="13.2" x14ac:dyDescent="0.25">
      <c r="B75" s="18" t="str">
        <f>[2]Base!A75</f>
        <v>ODONTOPREV</v>
      </c>
      <c r="C75" s="19" t="str">
        <f>[2]Base!C75</f>
        <v>NM</v>
      </c>
      <c r="D75" s="19" t="str">
        <f>[2]Base!EQ75</f>
        <v>Serv. Méd. Hospit., Análises e Diagnósticos</v>
      </c>
      <c r="E75" s="19" t="str">
        <f>[2]Base!M75</f>
        <v>Itaú BBA</v>
      </c>
      <c r="F75" s="19" t="str">
        <f>[2]Base!F75</f>
        <v>IPO</v>
      </c>
      <c r="G75" s="19" t="str">
        <f>[2]Base!G75</f>
        <v>ICVM 400</v>
      </c>
      <c r="H75" s="20">
        <f>[2]Base!X75</f>
        <v>39050</v>
      </c>
      <c r="I75" s="21">
        <f>[2]Base!W75</f>
        <v>28</v>
      </c>
      <c r="J75" s="22">
        <f>[2]Base!J75</f>
        <v>39052</v>
      </c>
      <c r="K75" s="23">
        <f>[2]Base!BL75</f>
        <v>8675</v>
      </c>
      <c r="L75" s="23">
        <f>[2]Base!DZ75</f>
        <v>9772</v>
      </c>
      <c r="M75" s="24">
        <f>[2]Base!AO75</f>
        <v>161913052</v>
      </c>
      <c r="N75" s="24">
        <f>[2]Base!AP75</f>
        <v>360118192</v>
      </c>
      <c r="O75" s="25">
        <f>[2]Base!AQ75</f>
        <v>522031244</v>
      </c>
      <c r="P75" s="26">
        <f>[2]Base!EF75</f>
        <v>8.8629446094992737E-2</v>
      </c>
      <c r="Q75" s="26">
        <f>[2]Base!EH75</f>
        <v>0.25896213215927744</v>
      </c>
      <c r="R75" s="26">
        <f>[2]Base!EJ75</f>
        <v>0.62709251938950994</v>
      </c>
      <c r="S75" s="27">
        <f>[2]Base!EL75</f>
        <v>2.5315902356219888E-2</v>
      </c>
    </row>
    <row r="76" spans="2:19" ht="13.2" x14ac:dyDescent="0.25">
      <c r="B76" s="18" t="str">
        <f>[2]Base!A76</f>
        <v>POSITIVO INF</v>
      </c>
      <c r="C76" s="19" t="str">
        <f>[2]Base!C76</f>
        <v>NM</v>
      </c>
      <c r="D76" s="19" t="str">
        <f>[2]Base!EQ76</f>
        <v>Computadores e Equipamentos</v>
      </c>
      <c r="E76" s="19" t="str">
        <f>[2]Base!M76</f>
        <v>UBS</v>
      </c>
      <c r="F76" s="19" t="str">
        <f>[2]Base!F76</f>
        <v>IPO</v>
      </c>
      <c r="G76" s="19" t="str">
        <f>[2]Base!G76</f>
        <v>ICVM 400</v>
      </c>
      <c r="H76" s="20">
        <f>[2]Base!X76</f>
        <v>39058</v>
      </c>
      <c r="I76" s="21">
        <f>[2]Base!W76</f>
        <v>23.5</v>
      </c>
      <c r="J76" s="22">
        <f>[2]Base!J76</f>
        <v>39062</v>
      </c>
      <c r="K76" s="23">
        <f>[2]Base!BL76</f>
        <v>18466</v>
      </c>
      <c r="L76" s="23">
        <f>[2]Base!DZ76</f>
        <v>19543</v>
      </c>
      <c r="M76" s="24">
        <f>[2]Base!AO76</f>
        <v>65800000</v>
      </c>
      <c r="N76" s="24">
        <f>[2]Base!AP76</f>
        <v>538312150</v>
      </c>
      <c r="O76" s="25">
        <f>[2]Base!AQ76</f>
        <v>604112150</v>
      </c>
      <c r="P76" s="26">
        <f>[2]Base!EF76</f>
        <v>9.3250077448747151E-2</v>
      </c>
      <c r="Q76" s="26">
        <f>[2]Base!EH76</f>
        <v>0.25465326651480635</v>
      </c>
      <c r="R76" s="26">
        <f>[2]Base!EJ76</f>
        <v>0.64184878359908881</v>
      </c>
      <c r="S76" s="27">
        <f>[2]Base!EL76</f>
        <v>1.0247872437357631E-2</v>
      </c>
    </row>
    <row r="77" spans="2:19" ht="13.2" x14ac:dyDescent="0.25">
      <c r="B77" s="18" t="str">
        <f>[2]Base!A77</f>
        <v>SAO CARLOS</v>
      </c>
      <c r="C77" s="19" t="str">
        <f>[2]Base!C77</f>
        <v>NM</v>
      </c>
      <c r="D77" s="19" t="str">
        <f>[2]Base!EQ77</f>
        <v>Exploração de Imóveis</v>
      </c>
      <c r="E77" s="19" t="str">
        <f>[2]Base!M77</f>
        <v>Credit Suisse</v>
      </c>
      <c r="F77" s="19" t="str">
        <f>[2]Base!F77</f>
        <v>FOLLOW-ON</v>
      </c>
      <c r="G77" s="19" t="str">
        <f>[2]Base!G77</f>
        <v>ICVM 400</v>
      </c>
      <c r="H77" s="20">
        <f>[2]Base!X77</f>
        <v>39063</v>
      </c>
      <c r="I77" s="21">
        <f>[2]Base!W77</f>
        <v>19.5</v>
      </c>
      <c r="J77" s="22">
        <f>[2]Base!J77</f>
        <v>39065</v>
      </c>
      <c r="K77" s="23">
        <f>[2]Base!BL77</f>
        <v>6445</v>
      </c>
      <c r="L77" s="23">
        <f>[2]Base!DZ77</f>
        <v>6821</v>
      </c>
      <c r="M77" s="24">
        <f>[2]Base!AO77</f>
        <v>341250000</v>
      </c>
      <c r="N77" s="24">
        <f>[2]Base!AP77</f>
        <v>139670017.5</v>
      </c>
      <c r="O77" s="25">
        <f>[2]Base!AQ77</f>
        <v>480920017.5</v>
      </c>
      <c r="P77" s="26">
        <f>[2]Base!EF77</f>
        <v>0.10242878718918334</v>
      </c>
      <c r="Q77" s="26">
        <f>[2]Base!EH77</f>
        <v>0.10451032085040707</v>
      </c>
      <c r="R77" s="26">
        <f>[2]Base!EJ77</f>
        <v>0.74529113628097421</v>
      </c>
      <c r="S77" s="27">
        <f>[2]Base!EL77</f>
        <v>4.7769755679435436E-2</v>
      </c>
    </row>
    <row r="78" spans="2:19" ht="13.2" x14ac:dyDescent="0.25">
      <c r="B78" s="18" t="str">
        <f>[2]Base!A78</f>
        <v>LOPES BRASIL</v>
      </c>
      <c r="C78" s="19" t="str">
        <f>[2]Base!C78</f>
        <v>NM</v>
      </c>
      <c r="D78" s="19" t="str">
        <f>[2]Base!EQ78</f>
        <v>Intermediação Imobiliária</v>
      </c>
      <c r="E78" s="19" t="str">
        <f>[2]Base!M78</f>
        <v>UBS</v>
      </c>
      <c r="F78" s="19" t="str">
        <f>[2]Base!F78</f>
        <v>IPO</v>
      </c>
      <c r="G78" s="19" t="str">
        <f>[2]Base!G78</f>
        <v>ICVM 400</v>
      </c>
      <c r="H78" s="20">
        <f>[2]Base!X78</f>
        <v>39065</v>
      </c>
      <c r="I78" s="21">
        <f>[2]Base!W78</f>
        <v>20</v>
      </c>
      <c r="J78" s="22">
        <f>[2]Base!J78</f>
        <v>39069</v>
      </c>
      <c r="K78" s="23">
        <f>[2]Base!BL78</f>
        <v>9803</v>
      </c>
      <c r="L78" s="23">
        <f>[2]Base!DZ78</f>
        <v>10438</v>
      </c>
      <c r="M78" s="24">
        <f>[2]Base!AO78</f>
        <v>0</v>
      </c>
      <c r="N78" s="24">
        <f>[2]Base!AP78</f>
        <v>474720000</v>
      </c>
      <c r="O78" s="25">
        <f>[2]Base!AQ78</f>
        <v>474720000</v>
      </c>
      <c r="P78" s="26">
        <f>[2]Base!EF78</f>
        <v>0.1081038506909336</v>
      </c>
      <c r="Q78" s="26">
        <f>[2]Base!EH78</f>
        <v>0.17753437815975734</v>
      </c>
      <c r="R78" s="26">
        <f>[2]Base!EJ78</f>
        <v>0.71061151836872261</v>
      </c>
      <c r="S78" s="27">
        <f>[2]Base!EL78</f>
        <v>3.7502527805864509E-3</v>
      </c>
    </row>
    <row r="79" spans="2:19" ht="13.8" thickBot="1" x14ac:dyDescent="0.3">
      <c r="B79" s="30" t="str">
        <f>[2]Base!A79</f>
        <v>DUFRYBRAS</v>
      </c>
      <c r="C79" s="31" t="str">
        <f>[2]Base!C79</f>
        <v>BDR</v>
      </c>
      <c r="D79" s="31" t="str">
        <f>[2]Base!EQ79</f>
        <v>Produtos Diversos</v>
      </c>
      <c r="E79" s="31" t="str">
        <f>[2]Base!M79</f>
        <v>UBS</v>
      </c>
      <c r="F79" s="31" t="str">
        <f>[2]Base!F79</f>
        <v>IPO</v>
      </c>
      <c r="G79" s="31" t="str">
        <f>[2]Base!G79</f>
        <v>ICVM 400</v>
      </c>
      <c r="H79" s="32">
        <f>[2]Base!X79</f>
        <v>39069</v>
      </c>
      <c r="I79" s="33">
        <f>[2]Base!W79</f>
        <v>26.84</v>
      </c>
      <c r="J79" s="34">
        <f>[2]Base!J79</f>
        <v>39071</v>
      </c>
      <c r="K79" s="35">
        <f>[2]Base!BL79</f>
        <v>10039</v>
      </c>
      <c r="L79" s="35">
        <f>[2]Base!DZ79</f>
        <v>10805</v>
      </c>
      <c r="M79" s="36">
        <f>[2]Base!AO79</f>
        <v>0</v>
      </c>
      <c r="N79" s="36">
        <f>[2]Base!AP79</f>
        <v>849754936.79999995</v>
      </c>
      <c r="O79" s="37">
        <f>[2]Base!AQ79</f>
        <v>849754936.79999995</v>
      </c>
      <c r="P79" s="38">
        <f>[2]Base!EF79</f>
        <v>9.8349116646167634E-2</v>
      </c>
      <c r="Q79" s="38">
        <f>[2]Base!EH79</f>
        <v>0.20742772746195359</v>
      </c>
      <c r="R79" s="38">
        <f>[2]Base!EJ79</f>
        <v>0.69013348696557997</v>
      </c>
      <c r="S79" s="39">
        <f>[2]Base!EL79</f>
        <v>4.0896689262988461E-3</v>
      </c>
    </row>
    <row r="80" spans="2:19" ht="13.8" thickTop="1" x14ac:dyDescent="0.25">
      <c r="B80" s="40" t="str">
        <f>[2]Base!A80</f>
        <v>PDG REALT</v>
      </c>
      <c r="C80" s="41" t="str">
        <f>[2]Base!C80</f>
        <v>NM</v>
      </c>
      <c r="D80" s="41" t="str">
        <f>[2]Base!EQ80</f>
        <v>Construção Civil</v>
      </c>
      <c r="E80" s="41" t="str">
        <f>[2]Base!M80</f>
        <v>UBS</v>
      </c>
      <c r="F80" s="41" t="str">
        <f>[2]Base!F80</f>
        <v>IPO</v>
      </c>
      <c r="G80" s="41" t="str">
        <f>[2]Base!G80</f>
        <v>ICVM 400</v>
      </c>
      <c r="H80" s="42">
        <f>[2]Base!X80</f>
        <v>39106</v>
      </c>
      <c r="I80" s="43">
        <f>[2]Base!W80</f>
        <v>14</v>
      </c>
      <c r="J80" s="44">
        <f>[2]Base!J80</f>
        <v>39108</v>
      </c>
      <c r="K80" s="45">
        <f>[2]Base!BL80</f>
        <v>11826</v>
      </c>
      <c r="L80" s="45">
        <f>[2]Base!DZ80</f>
        <v>12422</v>
      </c>
      <c r="M80" s="46">
        <f>[2]Base!AO80</f>
        <v>432263062</v>
      </c>
      <c r="N80" s="46">
        <f>[2]Base!AP80</f>
        <v>216131538</v>
      </c>
      <c r="O80" s="47">
        <f>[2]Base!AQ80</f>
        <v>648394600</v>
      </c>
      <c r="P80" s="48">
        <f>[2]Base!EF80</f>
        <v>9.4026454106280188E-2</v>
      </c>
      <c r="Q80" s="48">
        <f>[2]Base!EH80</f>
        <v>6.179400966183575E-2</v>
      </c>
      <c r="R80" s="48">
        <f>[2]Base!EJ80</f>
        <v>0.8359644444444444</v>
      </c>
      <c r="S80" s="49">
        <f>[2]Base!EL80</f>
        <v>8.2150917874396143E-3</v>
      </c>
    </row>
    <row r="81" spans="2:19" ht="13.2" x14ac:dyDescent="0.25">
      <c r="B81" s="18" t="str">
        <f>[2]Base!A81</f>
        <v>RODOBENSIMOB</v>
      </c>
      <c r="C81" s="19" t="str">
        <f>[2]Base!C81</f>
        <v>NM</v>
      </c>
      <c r="D81" s="19" t="str">
        <f>[2]Base!EQ81</f>
        <v>Construção Civil</v>
      </c>
      <c r="E81" s="19" t="str">
        <f>[2]Base!M81</f>
        <v>JP Morgan</v>
      </c>
      <c r="F81" s="19" t="str">
        <f>[2]Base!F81</f>
        <v>IPO</v>
      </c>
      <c r="G81" s="19" t="str">
        <f>[2]Base!G81</f>
        <v>ICVM 400</v>
      </c>
      <c r="H81" s="20">
        <f>[2]Base!X81</f>
        <v>39111</v>
      </c>
      <c r="I81" s="21">
        <f>[2]Base!W81</f>
        <v>19.5</v>
      </c>
      <c r="J81" s="22">
        <f>[2]Base!J81</f>
        <v>39113</v>
      </c>
      <c r="K81" s="23">
        <f>[2]Base!BL81</f>
        <v>13963</v>
      </c>
      <c r="L81" s="23">
        <f>[2]Base!DZ81</f>
        <v>14782</v>
      </c>
      <c r="M81" s="24">
        <f>[2]Base!AO81</f>
        <v>448500000</v>
      </c>
      <c r="N81" s="24">
        <f>[2]Base!AP81</f>
        <v>0</v>
      </c>
      <c r="O81" s="25">
        <f>[2]Base!AQ81</f>
        <v>448500000</v>
      </c>
      <c r="P81" s="26">
        <f>[2]Base!EF81</f>
        <v>0.10657260869565217</v>
      </c>
      <c r="Q81" s="26">
        <f>[2]Base!EH81</f>
        <v>0.22176391304347826</v>
      </c>
      <c r="R81" s="26">
        <f>[2]Base!EJ81</f>
        <v>0.66993608695652174</v>
      </c>
      <c r="S81" s="27">
        <f>[2]Base!EL81</f>
        <v>1.727391304347826E-3</v>
      </c>
    </row>
    <row r="82" spans="2:19" ht="13.2" x14ac:dyDescent="0.25">
      <c r="B82" s="18" t="str">
        <f>[2]Base!A82</f>
        <v>CC DES IMOB</v>
      </c>
      <c r="C82" s="19" t="str">
        <f>[2]Base!C82</f>
        <v>NM</v>
      </c>
      <c r="D82" s="19" t="str">
        <f>[2]Base!EQ82</f>
        <v>Construção Civil</v>
      </c>
      <c r="E82" s="19" t="str">
        <f>[2]Base!M82</f>
        <v>Credit Suisse</v>
      </c>
      <c r="F82" s="19" t="str">
        <f>[2]Base!F82</f>
        <v>IPO</v>
      </c>
      <c r="G82" s="19" t="str">
        <f>[2]Base!G82</f>
        <v>ICVM 400</v>
      </c>
      <c r="H82" s="20">
        <f>[2]Base!X82</f>
        <v>39111</v>
      </c>
      <c r="I82" s="21">
        <f>[2]Base!W82</f>
        <v>14.5</v>
      </c>
      <c r="J82" s="22">
        <f>[2]Base!J82</f>
        <v>39113</v>
      </c>
      <c r="K82" s="23">
        <f>[2]Base!BL82</f>
        <v>22002</v>
      </c>
      <c r="L82" s="23">
        <f>[2]Base!DZ82</f>
        <v>23552</v>
      </c>
      <c r="M82" s="24">
        <f>[2]Base!AO82</f>
        <v>478500000</v>
      </c>
      <c r="N82" s="24">
        <f>[2]Base!AP82</f>
        <v>43499985.5</v>
      </c>
      <c r="O82" s="25">
        <f>[2]Base!AQ82</f>
        <v>521999985.5</v>
      </c>
      <c r="P82" s="26">
        <f>[2]Base!EF82</f>
        <v>0.1277443026025194</v>
      </c>
      <c r="Q82" s="26">
        <f>[2]Base!EH82</f>
        <v>0.3806971831086276</v>
      </c>
      <c r="R82" s="26">
        <f>[2]Base!EJ82</f>
        <v>0.48324986674516585</v>
      </c>
      <c r="S82" s="27">
        <f>[2]Base!EL82</f>
        <v>8.3086475436871393E-3</v>
      </c>
    </row>
    <row r="83" spans="2:19" ht="13.2" x14ac:dyDescent="0.25">
      <c r="B83" s="18" t="str">
        <f>[2]Base!A83</f>
        <v>TECNISA</v>
      </c>
      <c r="C83" s="19" t="str">
        <f>[2]Base!C83</f>
        <v>NM</v>
      </c>
      <c r="D83" s="19" t="str">
        <f>[2]Base!EQ83</f>
        <v>Construção Civil</v>
      </c>
      <c r="E83" s="19" t="str">
        <f>[2]Base!M83</f>
        <v>Credit Suisse</v>
      </c>
      <c r="F83" s="19" t="str">
        <f>[2]Base!F83</f>
        <v>IPO</v>
      </c>
      <c r="G83" s="19" t="str">
        <f>[2]Base!G83</f>
        <v>ICVM 400</v>
      </c>
      <c r="H83" s="20">
        <f>[2]Base!X83</f>
        <v>39112</v>
      </c>
      <c r="I83" s="21">
        <f>[2]Base!W83</f>
        <v>13</v>
      </c>
      <c r="J83" s="22">
        <f>[2]Base!J83</f>
        <v>39114</v>
      </c>
      <c r="K83" s="23">
        <f>[2]Base!BL83</f>
        <v>17187</v>
      </c>
      <c r="L83" s="23">
        <f>[2]Base!DZ83</f>
        <v>18216</v>
      </c>
      <c r="M83" s="24">
        <f>[2]Base!AO83</f>
        <v>590652257</v>
      </c>
      <c r="N83" s="24">
        <f>[2]Base!AP83</f>
        <v>200650827</v>
      </c>
      <c r="O83" s="25">
        <f>[2]Base!AQ83</f>
        <v>791303084</v>
      </c>
      <c r="P83" s="26">
        <f>[2]Base!EF83</f>
        <v>0.10218897778807874</v>
      </c>
      <c r="Q83" s="26">
        <f>[2]Base!EH83</f>
        <v>0.17260137616220186</v>
      </c>
      <c r="R83" s="26">
        <f>[2]Base!EJ83</f>
        <v>0.59367600702446843</v>
      </c>
      <c r="S83" s="27">
        <f>[2]Base!EL83</f>
        <v>0.131533639025251</v>
      </c>
    </row>
    <row r="84" spans="2:19" ht="13.2" x14ac:dyDescent="0.25">
      <c r="B84" s="18" t="str">
        <f>[2]Base!A84</f>
        <v>IGUATEMI</v>
      </c>
      <c r="C84" s="19" t="str">
        <f>[2]Base!C84</f>
        <v>NM</v>
      </c>
      <c r="D84" s="19" t="str">
        <f>[2]Base!EQ84</f>
        <v>Exploração de Imóveis</v>
      </c>
      <c r="E84" s="19" t="str">
        <f>[2]Base!M84</f>
        <v>Santander</v>
      </c>
      <c r="F84" s="19" t="str">
        <f>[2]Base!F84</f>
        <v>IPO</v>
      </c>
      <c r="G84" s="19" t="str">
        <f>[2]Base!G84</f>
        <v>ICVM 400</v>
      </c>
      <c r="H84" s="20">
        <f>[2]Base!X84</f>
        <v>39118</v>
      </c>
      <c r="I84" s="21">
        <f>[2]Base!W84</f>
        <v>30</v>
      </c>
      <c r="J84" s="22">
        <f>[2]Base!J84</f>
        <v>39120</v>
      </c>
      <c r="K84" s="23">
        <f>[2]Base!BL84</f>
        <v>16710</v>
      </c>
      <c r="L84" s="23">
        <f>[2]Base!DZ84</f>
        <v>18100</v>
      </c>
      <c r="M84" s="24">
        <f>[2]Base!AO84</f>
        <v>548677440</v>
      </c>
      <c r="N84" s="24">
        <f>[2]Base!AP84</f>
        <v>0</v>
      </c>
      <c r="O84" s="25">
        <f>[2]Base!AQ84</f>
        <v>548677440</v>
      </c>
      <c r="P84" s="26">
        <f>[2]Base!EF84</f>
        <v>9.1357610766719333E-2</v>
      </c>
      <c r="Q84" s="26">
        <f>[2]Base!EH84</f>
        <v>0.1796770977133669</v>
      </c>
      <c r="R84" s="26">
        <f>[2]Base!EJ84</f>
        <v>0.72439976755741953</v>
      </c>
      <c r="S84" s="27">
        <f>[2]Base!EL84</f>
        <v>4.5655239624942476E-3</v>
      </c>
    </row>
    <row r="85" spans="2:19" ht="13.2" x14ac:dyDescent="0.25">
      <c r="B85" s="18" t="str">
        <f>[2]Base!A85</f>
        <v>EMBRAER</v>
      </c>
      <c r="C85" s="19" t="str">
        <f>[2]Base!C85</f>
        <v>NM</v>
      </c>
      <c r="D85" s="19" t="str">
        <f>[2]Base!EQ85</f>
        <v>Material Aeronáutico</v>
      </c>
      <c r="E85" s="19" t="str">
        <f>[2]Base!M85</f>
        <v>JP Morgan</v>
      </c>
      <c r="F85" s="19" t="str">
        <f>[2]Base!F85</f>
        <v>FOLLOW-ON</v>
      </c>
      <c r="G85" s="19" t="str">
        <f>[2]Base!G85</f>
        <v>ICVM 400</v>
      </c>
      <c r="H85" s="20">
        <f>[2]Base!X85</f>
        <v>39119</v>
      </c>
      <c r="I85" s="21">
        <f>[2]Base!W85</f>
        <v>21.35</v>
      </c>
      <c r="J85" s="22">
        <f>[2]Base!J85</f>
        <v>39121</v>
      </c>
      <c r="K85" s="23">
        <f>[2]Base!BL85</f>
        <v>3936</v>
      </c>
      <c r="L85" s="23">
        <f>[2]Base!DZ85</f>
        <v>4278</v>
      </c>
      <c r="M85" s="24">
        <f>[2]Base!AO85</f>
        <v>0</v>
      </c>
      <c r="N85" s="24">
        <f>[2]Base!AP85</f>
        <v>1789970677.6000001</v>
      </c>
      <c r="O85" s="25">
        <f>[2]Base!AQ85</f>
        <v>1789970677.6000001</v>
      </c>
      <c r="P85" s="26">
        <f>[2]Base!EF85</f>
        <v>2.0537318884625285E-2</v>
      </c>
      <c r="Q85" s="26">
        <f>[2]Base!EH85</f>
        <v>9.8686695855179057E-2</v>
      </c>
      <c r="R85" s="26">
        <f>[2]Base!EJ85</f>
        <v>0.88041722781906206</v>
      </c>
      <c r="S85" s="27">
        <f>[2]Base!EL85</f>
        <v>3.5875744113362677E-4</v>
      </c>
    </row>
    <row r="86" spans="2:19" ht="13.2" x14ac:dyDescent="0.25">
      <c r="B86" s="18" t="str">
        <f>[2]Base!A86</f>
        <v>SUZANO PAPEL</v>
      </c>
      <c r="C86" s="19" t="str">
        <f>[2]Base!C86</f>
        <v>N1</v>
      </c>
      <c r="D86" s="19" t="str">
        <f>[2]Base!EQ86</f>
        <v>Papel e Celulose</v>
      </c>
      <c r="E86" s="19" t="str">
        <f>[2]Base!M86</f>
        <v>Credit Suisse</v>
      </c>
      <c r="F86" s="19" t="str">
        <f>[2]Base!F86</f>
        <v>FOLLOW-ON</v>
      </c>
      <c r="G86" s="19" t="str">
        <f>[2]Base!G86</f>
        <v>ICVM 400</v>
      </c>
      <c r="H86" s="20">
        <f>[2]Base!X86</f>
        <v>39120</v>
      </c>
      <c r="I86" s="21">
        <f>[2]Base!W86</f>
        <v>23</v>
      </c>
      <c r="J86" s="22">
        <f>[2]Base!J86</f>
        <v>39122</v>
      </c>
      <c r="K86" s="23">
        <f>[2]Base!BL86</f>
        <v>2866</v>
      </c>
      <c r="L86" s="23">
        <f>[2]Base!DZ86</f>
        <v>3144</v>
      </c>
      <c r="M86" s="24">
        <f>[2]Base!AO86</f>
        <v>0</v>
      </c>
      <c r="N86" s="24">
        <f>[2]Base!AP86</f>
        <v>543696011</v>
      </c>
      <c r="O86" s="25">
        <f>[2]Base!AQ86</f>
        <v>543696011</v>
      </c>
      <c r="P86" s="26">
        <f>[2]Base!EF86</f>
        <v>9.8276757921180652E-2</v>
      </c>
      <c r="Q86" s="26">
        <f>[2]Base!EH86</f>
        <v>0.3183769796794188</v>
      </c>
      <c r="R86" s="26">
        <f>[2]Base!EJ86</f>
        <v>0.57541731678623453</v>
      </c>
      <c r="S86" s="27">
        <f>[2]Base!EL86</f>
        <v>7.9289456131660038E-3</v>
      </c>
    </row>
    <row r="87" spans="2:19" ht="13.2" x14ac:dyDescent="0.25">
      <c r="B87" s="18" t="str">
        <f>[2]Base!A87</f>
        <v>SAO MARTINHO</v>
      </c>
      <c r="C87" s="19" t="str">
        <f>[2]Base!C87</f>
        <v>NM</v>
      </c>
      <c r="D87" s="19" t="str">
        <f>[2]Base!EQ87</f>
        <v>Alimentos Diversos</v>
      </c>
      <c r="E87" s="19" t="str">
        <f>[2]Base!M87</f>
        <v>UBS</v>
      </c>
      <c r="F87" s="19" t="str">
        <f>[2]Base!F87</f>
        <v>IPO</v>
      </c>
      <c r="G87" s="19" t="str">
        <f>[2]Base!G87</f>
        <v>ICVM 400</v>
      </c>
      <c r="H87" s="20">
        <f>[2]Base!X87</f>
        <v>39121</v>
      </c>
      <c r="I87" s="21">
        <f>[2]Base!W87</f>
        <v>20</v>
      </c>
      <c r="J87" s="22">
        <f>[2]Base!J87</f>
        <v>39125</v>
      </c>
      <c r="K87" s="23">
        <f>[2]Base!BL87</f>
        <v>24369</v>
      </c>
      <c r="L87" s="23">
        <f>[2]Base!DZ87</f>
        <v>25864</v>
      </c>
      <c r="M87" s="24">
        <f>[2]Base!AO87</f>
        <v>260000000</v>
      </c>
      <c r="N87" s="24">
        <f>[2]Base!AP87</f>
        <v>163680000</v>
      </c>
      <c r="O87" s="25">
        <f>[2]Base!AQ87</f>
        <v>423680000</v>
      </c>
      <c r="P87" s="26">
        <f>[2]Base!EF87</f>
        <v>0.1025470166163142</v>
      </c>
      <c r="Q87" s="26">
        <f>[2]Base!EH87</f>
        <v>0.28305664652567974</v>
      </c>
      <c r="R87" s="26">
        <f>[2]Base!EJ87</f>
        <v>0.5342703455438067</v>
      </c>
      <c r="S87" s="27">
        <f>[2]Base!EL87</f>
        <v>8.0125991314199396E-2</v>
      </c>
    </row>
    <row r="88" spans="2:19" ht="13.2" x14ac:dyDescent="0.25">
      <c r="B88" s="18" t="str">
        <f>[2]Base!A88</f>
        <v>GVT HOLDING</v>
      </c>
      <c r="C88" s="19" t="str">
        <f>[2]Base!C88</f>
        <v>NM</v>
      </c>
      <c r="D88" s="19" t="str">
        <f>[2]Base!EQ88</f>
        <v>Telefonia Fixa</v>
      </c>
      <c r="E88" s="19" t="str">
        <f>[2]Base!M88</f>
        <v>Credit Suisse</v>
      </c>
      <c r="F88" s="19" t="str">
        <f>[2]Base!F88</f>
        <v>IPO</v>
      </c>
      <c r="G88" s="19" t="str">
        <f>[2]Base!G88</f>
        <v>ICVM 400</v>
      </c>
      <c r="H88" s="20">
        <f>[2]Base!X88</f>
        <v>39127</v>
      </c>
      <c r="I88" s="21">
        <f>[2]Base!W88</f>
        <v>18</v>
      </c>
      <c r="J88" s="22">
        <f>[2]Base!J88</f>
        <v>39129</v>
      </c>
      <c r="K88" s="23">
        <f>[2]Base!BL88</f>
        <v>14427</v>
      </c>
      <c r="L88" s="23">
        <f>[2]Base!DZ88</f>
        <v>15645</v>
      </c>
      <c r="M88" s="24">
        <f>[2]Base!AO88</f>
        <v>1076400000</v>
      </c>
      <c r="N88" s="24">
        <f>[2]Base!AP88</f>
        <v>0</v>
      </c>
      <c r="O88" s="25">
        <f>[2]Base!AQ88</f>
        <v>1076400000</v>
      </c>
      <c r="P88" s="26">
        <f>[2]Base!EF88</f>
        <v>9.1264498327759194E-2</v>
      </c>
      <c r="Q88" s="26">
        <f>[2]Base!EH88</f>
        <v>0.14677496655518393</v>
      </c>
      <c r="R88" s="26">
        <f>[2]Base!EJ88</f>
        <v>0.75946956521739128</v>
      </c>
      <c r="S88" s="27">
        <f>[2]Base!EL88</f>
        <v>2.4909698996655517E-3</v>
      </c>
    </row>
    <row r="89" spans="2:19" ht="13.2" x14ac:dyDescent="0.25">
      <c r="B89" s="18" t="str">
        <f>[2]Base!A89</f>
        <v>ANHANGUERA</v>
      </c>
      <c r="C89" s="19" t="str">
        <f>[2]Base!C89</f>
        <v>N2</v>
      </c>
      <c r="D89" s="19" t="str">
        <f>[2]Base!EQ89</f>
        <v>Serviços Educacionais</v>
      </c>
      <c r="E89" s="19" t="str">
        <f>[2]Base!M89</f>
        <v>Credit Suisse</v>
      </c>
      <c r="F89" s="19" t="str">
        <f>[2]Base!F89</f>
        <v>IPO</v>
      </c>
      <c r="G89" s="19" t="str">
        <f>[2]Base!G89</f>
        <v>ICVM 400</v>
      </c>
      <c r="H89" s="20">
        <f>[2]Base!X89</f>
        <v>39149</v>
      </c>
      <c r="I89" s="21">
        <f>[2]Base!W89</f>
        <v>18</v>
      </c>
      <c r="J89" s="22">
        <f>[2]Base!J89</f>
        <v>39153</v>
      </c>
      <c r="K89" s="23">
        <f>[2]Base!BL89</f>
        <v>13593</v>
      </c>
      <c r="L89" s="23">
        <f>[2]Base!DZ89</f>
        <v>14651</v>
      </c>
      <c r="M89" s="24">
        <f>[2]Base!AO89</f>
        <v>426825000</v>
      </c>
      <c r="N89" s="24">
        <f>[2]Base!AP89</f>
        <v>85500000</v>
      </c>
      <c r="O89" s="25">
        <f>[2]Base!AQ89</f>
        <v>512325000</v>
      </c>
      <c r="P89" s="26">
        <f>[2]Base!EF89</f>
        <v>9.0977953447518661E-2</v>
      </c>
      <c r="Q89" s="26">
        <f>[2]Base!EH89</f>
        <v>0.1501190689503733</v>
      </c>
      <c r="R89" s="26">
        <f>[2]Base!EJ89</f>
        <v>0.75558208168642949</v>
      </c>
      <c r="S89" s="27">
        <f>[2]Base!EL89</f>
        <v>3.3208959156785242E-3</v>
      </c>
    </row>
    <row r="90" spans="2:19" ht="13.2" x14ac:dyDescent="0.25">
      <c r="B90" s="18" t="str">
        <f>[2]Base!A90</f>
        <v>GAFISA</v>
      </c>
      <c r="C90" s="19" t="str">
        <f>[2]Base!C90</f>
        <v>NM</v>
      </c>
      <c r="D90" s="19" t="str">
        <f>[2]Base!EQ90</f>
        <v>Construção Civil</v>
      </c>
      <c r="E90" s="19" t="str">
        <f>[2]Base!M90</f>
        <v>Merrill Lynch</v>
      </c>
      <c r="F90" s="19" t="str">
        <f>[2]Base!F90</f>
        <v>FOLLOW-ON</v>
      </c>
      <c r="G90" s="19" t="str">
        <f>[2]Base!G90</f>
        <v>ICVM 400</v>
      </c>
      <c r="H90" s="20">
        <f>[2]Base!X90</f>
        <v>39156</v>
      </c>
      <c r="I90" s="21">
        <f>[2]Base!W90</f>
        <v>26</v>
      </c>
      <c r="J90" s="22">
        <f>[2]Base!J90</f>
        <v>39157</v>
      </c>
      <c r="K90" s="23">
        <f>[2]Base!BL90</f>
        <v>5179</v>
      </c>
      <c r="L90" s="23">
        <f>[2]Base!DZ90</f>
        <v>5527</v>
      </c>
      <c r="M90" s="24">
        <f>[2]Base!AO90</f>
        <v>487811792</v>
      </c>
      <c r="N90" s="24">
        <f>[2]Base!AP90</f>
        <v>683493174</v>
      </c>
      <c r="O90" s="25">
        <f>[2]Base!AQ90</f>
        <v>1171304966</v>
      </c>
      <c r="P90" s="26">
        <f>[2]Base!EF90</f>
        <v>1.7998182075049541E-2</v>
      </c>
      <c r="Q90" s="26">
        <f>[2]Base!EH90</f>
        <v>4.4139026804235468E-2</v>
      </c>
      <c r="R90" s="26">
        <f>[2]Base!EJ90</f>
        <v>0.92686157975286365</v>
      </c>
      <c r="S90" s="27">
        <f>[2]Base!EL90</f>
        <v>1.1001211367851359E-2</v>
      </c>
    </row>
    <row r="91" spans="2:19" ht="13.2" x14ac:dyDescent="0.25">
      <c r="B91" s="18" t="str">
        <f>[2]Base!A91</f>
        <v>JBS</v>
      </c>
      <c r="C91" s="19" t="str">
        <f>[2]Base!C91</f>
        <v>NM</v>
      </c>
      <c r="D91" s="19" t="str">
        <f>[2]Base!EQ91</f>
        <v>Carnes e Derivados</v>
      </c>
      <c r="E91" s="19" t="str">
        <f>[2]Base!M91</f>
        <v>JP Morgan</v>
      </c>
      <c r="F91" s="19" t="str">
        <f>[2]Base!F91</f>
        <v>IPO</v>
      </c>
      <c r="G91" s="19" t="str">
        <f>[2]Base!G91</f>
        <v>ICVM 400</v>
      </c>
      <c r="H91" s="20">
        <f>[2]Base!X91</f>
        <v>39168</v>
      </c>
      <c r="I91" s="21">
        <f>[2]Base!W91</f>
        <v>8</v>
      </c>
      <c r="J91" s="22">
        <f>[2]Base!J91</f>
        <v>39170</v>
      </c>
      <c r="K91" s="23">
        <f>[2]Base!BL91</f>
        <v>22662</v>
      </c>
      <c r="L91" s="23">
        <f>[2]Base!DZ91</f>
        <v>23690</v>
      </c>
      <c r="M91" s="24">
        <f>[2]Base!AO91</f>
        <v>1216750400</v>
      </c>
      <c r="N91" s="24">
        <f>[2]Base!AP91</f>
        <v>400000000</v>
      </c>
      <c r="O91" s="25">
        <f>[2]Base!AQ91</f>
        <v>1616750400</v>
      </c>
      <c r="P91" s="26">
        <f>[2]Base!EF91</f>
        <v>8.7549017391304343E-2</v>
      </c>
      <c r="Q91" s="26">
        <f>[2]Base!EH91</f>
        <v>0.13164175217391305</v>
      </c>
      <c r="R91" s="26">
        <f>[2]Base!EJ91</f>
        <v>0.74229666086956525</v>
      </c>
      <c r="S91" s="27">
        <f>[2]Base!EL91</f>
        <v>3.851256956521739E-2</v>
      </c>
    </row>
    <row r="92" spans="2:19" ht="13.2" x14ac:dyDescent="0.25">
      <c r="B92" s="18" t="str">
        <f>[2]Base!A92</f>
        <v>PINE</v>
      </c>
      <c r="C92" s="19" t="str">
        <f>[2]Base!C92</f>
        <v>N1</v>
      </c>
      <c r="D92" s="19" t="str">
        <f>[2]Base!EQ92</f>
        <v>Bancos</v>
      </c>
      <c r="E92" s="19" t="str">
        <f>[2]Base!M92</f>
        <v>Credit Suisse</v>
      </c>
      <c r="F92" s="19" t="str">
        <f>[2]Base!F92</f>
        <v>IPO</v>
      </c>
      <c r="G92" s="19" t="str">
        <f>[2]Base!G92</f>
        <v>ICVM 400</v>
      </c>
      <c r="H92" s="20">
        <f>[2]Base!X92</f>
        <v>39169</v>
      </c>
      <c r="I92" s="21">
        <f>[2]Base!W92</f>
        <v>19</v>
      </c>
      <c r="J92" s="22">
        <f>[2]Base!J92</f>
        <v>39174</v>
      </c>
      <c r="K92" s="23">
        <f>[2]Base!BL92</f>
        <v>20007</v>
      </c>
      <c r="L92" s="23">
        <f>[2]Base!DZ92</f>
        <v>20668</v>
      </c>
      <c r="M92" s="24">
        <f>[2]Base!AO92</f>
        <v>356859900</v>
      </c>
      <c r="N92" s="24">
        <f>[2]Base!AP92</f>
        <v>160328365</v>
      </c>
      <c r="O92" s="25">
        <f>[2]Base!AQ92</f>
        <v>517188265</v>
      </c>
      <c r="P92" s="26">
        <f>[2]Base!EF92</f>
        <v>8.7947833309374349E-2</v>
      </c>
      <c r="Q92" s="26">
        <f>[2]Base!EH92</f>
        <v>0.12637973389557078</v>
      </c>
      <c r="R92" s="26">
        <f>[2]Base!EJ92</f>
        <v>0.7844617055600811</v>
      </c>
      <c r="S92" s="27">
        <f>[2]Base!EL92</f>
        <v>1.2107272349737249E-3</v>
      </c>
    </row>
    <row r="93" spans="2:19" ht="13.2" x14ac:dyDescent="0.25">
      <c r="B93" s="18" t="str">
        <f>[2]Base!A93</f>
        <v>EVEN</v>
      </c>
      <c r="C93" s="19" t="str">
        <f>[2]Base!C93</f>
        <v>NM</v>
      </c>
      <c r="D93" s="19" t="str">
        <f>[2]Base!EQ93</f>
        <v>Construção Civil</v>
      </c>
      <c r="E93" s="19" t="str">
        <f>[2]Base!M93</f>
        <v>Itaú BBA</v>
      </c>
      <c r="F93" s="19" t="str">
        <f>[2]Base!F93</f>
        <v>IPO</v>
      </c>
      <c r="G93" s="19" t="str">
        <f>[2]Base!G93</f>
        <v>ICVM 400</v>
      </c>
      <c r="H93" s="20">
        <f>[2]Base!X93</f>
        <v>39170</v>
      </c>
      <c r="I93" s="21">
        <f>[2]Base!W93</f>
        <v>11.5</v>
      </c>
      <c r="J93" s="22">
        <f>[2]Base!J93</f>
        <v>39174</v>
      </c>
      <c r="K93" s="23">
        <f>[2]Base!BL93</f>
        <v>11251</v>
      </c>
      <c r="L93" s="23">
        <f>[2]Base!DZ93</f>
        <v>11634</v>
      </c>
      <c r="M93" s="24">
        <f>[2]Base!AO93</f>
        <v>460000000</v>
      </c>
      <c r="N93" s="24">
        <f>[2]Base!AP93</f>
        <v>0</v>
      </c>
      <c r="O93" s="25">
        <f>[2]Base!AQ93</f>
        <v>460000000</v>
      </c>
      <c r="P93" s="26">
        <f>[2]Base!EF93</f>
        <v>9.8570649999999996E-2</v>
      </c>
      <c r="Q93" s="26">
        <f>[2]Base!EH93</f>
        <v>0.20146249999999999</v>
      </c>
      <c r="R93" s="26">
        <f>[2]Base!EJ93</f>
        <v>0.52511792499999999</v>
      </c>
      <c r="S93" s="27">
        <f>[2]Base!EL93</f>
        <v>0.17484892499999999</v>
      </c>
    </row>
    <row r="94" spans="2:19" ht="13.2" x14ac:dyDescent="0.25">
      <c r="B94" s="18" t="str">
        <f>[2]Base!A94</f>
        <v>BR MALLS PAR</v>
      </c>
      <c r="C94" s="19" t="str">
        <f>[2]Base!C94</f>
        <v>NM</v>
      </c>
      <c r="D94" s="19" t="str">
        <f>[2]Base!EQ94</f>
        <v>Exploração de Imóveis</v>
      </c>
      <c r="E94" s="19" t="str">
        <f>[2]Base!M94</f>
        <v>UBS</v>
      </c>
      <c r="F94" s="19" t="str">
        <f>[2]Base!F94</f>
        <v>IPO</v>
      </c>
      <c r="G94" s="19" t="str">
        <f>[2]Base!G94</f>
        <v>ICVM 400</v>
      </c>
      <c r="H94" s="20">
        <f>[2]Base!X94</f>
        <v>39174</v>
      </c>
      <c r="I94" s="21">
        <f>[2]Base!W94</f>
        <v>15</v>
      </c>
      <c r="J94" s="22">
        <f>[2]Base!J94</f>
        <v>39177</v>
      </c>
      <c r="K94" s="23">
        <f>[2]Base!BL94</f>
        <v>13777</v>
      </c>
      <c r="L94" s="23">
        <f>[2]Base!DZ94</f>
        <v>14518</v>
      </c>
      <c r="M94" s="24">
        <f>[2]Base!AO94</f>
        <v>657118665</v>
      </c>
      <c r="N94" s="24">
        <f>[2]Base!AP94</f>
        <v>0</v>
      </c>
      <c r="O94" s="25">
        <f>[2]Base!AQ94</f>
        <v>657118665</v>
      </c>
      <c r="P94" s="26">
        <f>[2]Base!EF94</f>
        <v>0.10142228878442967</v>
      </c>
      <c r="Q94" s="26">
        <f>[2]Base!EH94</f>
        <v>0.21606554127661737</v>
      </c>
      <c r="R94" s="26">
        <f>[2]Base!EJ94</f>
        <v>0.68097424418826791</v>
      </c>
      <c r="S94" s="27">
        <f>[2]Base!EL94</f>
        <v>1.5379257506850975E-3</v>
      </c>
    </row>
    <row r="95" spans="2:19" ht="13.2" x14ac:dyDescent="0.25">
      <c r="B95" s="18" t="str">
        <f>[2]Base!A95</f>
        <v>FER HERINGER</v>
      </c>
      <c r="C95" s="19" t="str">
        <f>[2]Base!C95</f>
        <v>NM</v>
      </c>
      <c r="D95" s="19" t="str">
        <f>[2]Base!EQ95</f>
        <v>Fertilizantes e Defensivos</v>
      </c>
      <c r="E95" s="19" t="str">
        <f>[2]Base!M95</f>
        <v>UBS</v>
      </c>
      <c r="F95" s="19" t="str">
        <f>[2]Base!F95</f>
        <v>IPO</v>
      </c>
      <c r="G95" s="19" t="str">
        <f>[2]Base!G95</f>
        <v>ICVM 400</v>
      </c>
      <c r="H95" s="20">
        <f>[2]Base!X95</f>
        <v>39182</v>
      </c>
      <c r="I95" s="21">
        <f>[2]Base!W95</f>
        <v>17</v>
      </c>
      <c r="J95" s="22">
        <f>[2]Base!J95</f>
        <v>39184</v>
      </c>
      <c r="K95" s="23">
        <f>[2]Base!BL95</f>
        <v>9169</v>
      </c>
      <c r="L95" s="23">
        <f>[2]Base!DZ95</f>
        <v>9770</v>
      </c>
      <c r="M95" s="24">
        <f>[2]Base!AO95</f>
        <v>203163056</v>
      </c>
      <c r="N95" s="24">
        <f>[2]Base!AP95</f>
        <v>146414302</v>
      </c>
      <c r="O95" s="25">
        <f>[2]Base!AQ95</f>
        <v>349577358</v>
      </c>
      <c r="P95" s="26">
        <f>[2]Base!EF95</f>
        <v>0.11210738082184372</v>
      </c>
      <c r="Q95" s="26">
        <f>[2]Base!EH95</f>
        <v>0.23125582406855996</v>
      </c>
      <c r="R95" s="26">
        <f>[2]Base!EJ95</f>
        <v>0.65372355723336062</v>
      </c>
      <c r="S95" s="27">
        <f>[2]Base!EL95</f>
        <v>2.9132378762356799E-3</v>
      </c>
    </row>
    <row r="96" spans="2:19" ht="13.2" x14ac:dyDescent="0.25">
      <c r="B96" s="18" t="str">
        <f>[2]Base!A96</f>
        <v>JHSF PART</v>
      </c>
      <c r="C96" s="19" t="str">
        <f>[2]Base!C96</f>
        <v>NM</v>
      </c>
      <c r="D96" s="19" t="str">
        <f>[2]Base!EQ96</f>
        <v>Construção Civil</v>
      </c>
      <c r="E96" s="19" t="str">
        <f>[2]Base!M96</f>
        <v>Credit Suisse</v>
      </c>
      <c r="F96" s="19" t="str">
        <f>[2]Base!F96</f>
        <v>IPO</v>
      </c>
      <c r="G96" s="19" t="str">
        <f>[2]Base!G96</f>
        <v>ICVM 400</v>
      </c>
      <c r="H96" s="20">
        <f>[2]Base!X96</f>
        <v>39182</v>
      </c>
      <c r="I96" s="21">
        <f>[2]Base!W96</f>
        <v>8</v>
      </c>
      <c r="J96" s="22">
        <f>[2]Base!J96</f>
        <v>39184</v>
      </c>
      <c r="K96" s="23">
        <f>[2]Base!BL96</f>
        <v>4524</v>
      </c>
      <c r="L96" s="23">
        <f>[2]Base!DZ96</f>
        <v>4749</v>
      </c>
      <c r="M96" s="24">
        <f>[2]Base!AO96</f>
        <v>432400000</v>
      </c>
      <c r="N96" s="24">
        <f>[2]Base!AP96</f>
        <v>0</v>
      </c>
      <c r="O96" s="25">
        <f>[2]Base!AQ96</f>
        <v>432400000</v>
      </c>
      <c r="P96" s="26">
        <f>[2]Base!EF96</f>
        <v>8.6073709528214609E-2</v>
      </c>
      <c r="Q96" s="26">
        <f>[2]Base!EH96</f>
        <v>1.3013876040703053E-2</v>
      </c>
      <c r="R96" s="26">
        <f>[2]Base!EJ96</f>
        <v>0.89260917668825157</v>
      </c>
      <c r="S96" s="27">
        <f>[2]Base!EL96</f>
        <v>8.3032377428307116E-3</v>
      </c>
    </row>
    <row r="97" spans="2:19" ht="13.2" x14ac:dyDescent="0.25">
      <c r="B97" s="18" t="str">
        <f>[2]Base!A97</f>
        <v>METALFRIO</v>
      </c>
      <c r="C97" s="19" t="str">
        <f>[2]Base!C97</f>
        <v>NM</v>
      </c>
      <c r="D97" s="19" t="str">
        <f>[2]Base!EQ97</f>
        <v>Equipamentos Elétricos</v>
      </c>
      <c r="E97" s="19" t="str">
        <f>[2]Base!M97</f>
        <v>UBS</v>
      </c>
      <c r="F97" s="19" t="str">
        <f>[2]Base!F97</f>
        <v>IPO</v>
      </c>
      <c r="G97" s="19" t="str">
        <f>[2]Base!G97</f>
        <v>ICVM 400</v>
      </c>
      <c r="H97" s="20">
        <f>[2]Base!X97</f>
        <v>39183</v>
      </c>
      <c r="I97" s="21">
        <f>[2]Base!W97</f>
        <v>19</v>
      </c>
      <c r="J97" s="22">
        <f>[2]Base!J97</f>
        <v>39185</v>
      </c>
      <c r="K97" s="23">
        <f>[2]Base!BL97</f>
        <v>9576</v>
      </c>
      <c r="L97" s="23">
        <f>[2]Base!DZ97</f>
        <v>9970</v>
      </c>
      <c r="M97" s="24">
        <f>[2]Base!AO97</f>
        <v>302280500</v>
      </c>
      <c r="N97" s="24">
        <f>[2]Base!AP97</f>
        <v>150670000</v>
      </c>
      <c r="O97" s="25">
        <f>[2]Base!AQ97</f>
        <v>452950500</v>
      </c>
      <c r="P97" s="26">
        <f>[2]Base!EF97</f>
        <v>8.5067933471759061E-2</v>
      </c>
      <c r="Q97" s="26">
        <f>[2]Base!EH97</f>
        <v>0.21442144340275593</v>
      </c>
      <c r="R97" s="26">
        <f>[2]Base!EJ97</f>
        <v>0.56849669665890645</v>
      </c>
      <c r="S97" s="27">
        <f>[2]Base!EL97</f>
        <v>0.13201392646657858</v>
      </c>
    </row>
    <row r="98" spans="2:19" ht="13.2" x14ac:dyDescent="0.25">
      <c r="B98" s="18" t="str">
        <f>[2]Base!A98</f>
        <v>INDS ROMI</v>
      </c>
      <c r="C98" s="19" t="str">
        <f>[2]Base!C98</f>
        <v>NM</v>
      </c>
      <c r="D98" s="19" t="str">
        <f>[2]Base!EQ98</f>
        <v>Máquinas e Equipamentos Industriais</v>
      </c>
      <c r="E98" s="19" t="str">
        <f>[2]Base!M98</f>
        <v>Itaú BBA</v>
      </c>
      <c r="F98" s="19" t="str">
        <f>[2]Base!F98</f>
        <v>FOLLOW-ON</v>
      </c>
      <c r="G98" s="19" t="str">
        <f>[2]Base!G98</f>
        <v>ICVM 400</v>
      </c>
      <c r="H98" s="20">
        <f>[2]Base!X98</f>
        <v>39183</v>
      </c>
      <c r="I98" s="21">
        <f>[2]Base!W98</f>
        <v>15</v>
      </c>
      <c r="J98" s="22">
        <f>[2]Base!J98</f>
        <v>39185</v>
      </c>
      <c r="K98" s="23">
        <f>[2]Base!BL98</f>
        <v>2375</v>
      </c>
      <c r="L98" s="23">
        <f>[2]Base!DZ98</f>
        <v>2668</v>
      </c>
      <c r="M98" s="24">
        <f>[2]Base!AO98</f>
        <v>242935785</v>
      </c>
      <c r="N98" s="24">
        <f>[2]Base!AP98</f>
        <v>239571885</v>
      </c>
      <c r="O98" s="25">
        <f>[2]Base!AQ98</f>
        <v>482507670</v>
      </c>
      <c r="P98" s="26">
        <f>[2]Base!EF98</f>
        <v>5.3900283077365378E-2</v>
      </c>
      <c r="Q98" s="26">
        <f>[2]Base!EH98</f>
        <v>0.17656817766233643</v>
      </c>
      <c r="R98" s="26">
        <f>[2]Base!EJ98</f>
        <v>0.43783759955567131</v>
      </c>
      <c r="S98" s="27">
        <f>[2]Base!EL98</f>
        <v>0.33169393970462685</v>
      </c>
    </row>
    <row r="99" spans="2:19" ht="13.2" x14ac:dyDescent="0.25">
      <c r="B99" s="18" t="str">
        <f>[2]Base!A99</f>
        <v>BEMATECH</v>
      </c>
      <c r="C99" s="19" t="str">
        <f>[2]Base!C99</f>
        <v>NM</v>
      </c>
      <c r="D99" s="19" t="str">
        <f>[2]Base!EQ99</f>
        <v>Computadores e Equipamentos</v>
      </c>
      <c r="E99" s="19" t="str">
        <f>[2]Base!M99</f>
        <v>Itaú BBA</v>
      </c>
      <c r="F99" s="19" t="str">
        <f>[2]Base!F99</f>
        <v>IPO</v>
      </c>
      <c r="G99" s="19" t="str">
        <f>[2]Base!G99</f>
        <v>ICVM 400</v>
      </c>
      <c r="H99" s="20">
        <f>[2]Base!X99</f>
        <v>39189</v>
      </c>
      <c r="I99" s="21">
        <f>[2]Base!W99</f>
        <v>15</v>
      </c>
      <c r="J99" s="22">
        <f>[2]Base!J99</f>
        <v>39191</v>
      </c>
      <c r="K99" s="23">
        <f>[2]Base!BL99</f>
        <v>8629</v>
      </c>
      <c r="L99" s="23">
        <f>[2]Base!DZ99</f>
        <v>9331</v>
      </c>
      <c r="M99" s="24">
        <f>[2]Base!AO99</f>
        <v>270000030</v>
      </c>
      <c r="N99" s="24">
        <f>[2]Base!AP99</f>
        <v>136630020</v>
      </c>
      <c r="O99" s="25">
        <f>[2]Base!AQ99</f>
        <v>406630050</v>
      </c>
      <c r="P99" s="26">
        <f>[2]Base!EF99</f>
        <v>8.8202593487618539E-2</v>
      </c>
      <c r="Q99" s="26">
        <f>[2]Base!EH99</f>
        <v>0.1961198022625234</v>
      </c>
      <c r="R99" s="26">
        <f>[2]Base!EJ99</f>
        <v>0.70451457043078836</v>
      </c>
      <c r="S99" s="27">
        <f>[2]Base!EL99</f>
        <v>1.1163033819069693E-2</v>
      </c>
    </row>
    <row r="100" spans="2:19" ht="13.2" x14ac:dyDescent="0.25">
      <c r="B100" s="18" t="str">
        <f>[2]Base!A100</f>
        <v>CR2</v>
      </c>
      <c r="C100" s="19" t="str">
        <f>[2]Base!C100</f>
        <v>NM</v>
      </c>
      <c r="D100" s="19" t="str">
        <f>[2]Base!EQ100</f>
        <v>Construção Civil</v>
      </c>
      <c r="E100" s="19" t="str">
        <f>[2]Base!M100</f>
        <v>Unibanco</v>
      </c>
      <c r="F100" s="19" t="str">
        <f>[2]Base!F100</f>
        <v>IPO</v>
      </c>
      <c r="G100" s="19" t="str">
        <f>[2]Base!G100</f>
        <v>ICVM 400</v>
      </c>
      <c r="H100" s="20">
        <f>[2]Base!X100</f>
        <v>39191</v>
      </c>
      <c r="I100" s="21">
        <f>[2]Base!W100</f>
        <v>20</v>
      </c>
      <c r="J100" s="22">
        <f>[2]Base!J100</f>
        <v>39195</v>
      </c>
      <c r="K100" s="23">
        <f>[2]Base!BL100</f>
        <v>2755</v>
      </c>
      <c r="L100" s="23">
        <f>[2]Base!DZ100</f>
        <v>2926</v>
      </c>
      <c r="M100" s="24">
        <f>[2]Base!AO100</f>
        <v>307575000</v>
      </c>
      <c r="N100" s="24">
        <f>[2]Base!AP100</f>
        <v>0</v>
      </c>
      <c r="O100" s="25">
        <f>[2]Base!AQ100</f>
        <v>307575000</v>
      </c>
      <c r="P100" s="26">
        <f>[2]Base!EF100</f>
        <v>7.4582784686661796E-2</v>
      </c>
      <c r="Q100" s="26">
        <f>[2]Base!EH100</f>
        <v>0</v>
      </c>
      <c r="R100" s="26">
        <f>[2]Base!EJ100</f>
        <v>0</v>
      </c>
      <c r="S100" s="27">
        <f>[2]Base!EL100</f>
        <v>0.9254172153133382</v>
      </c>
    </row>
    <row r="101" spans="2:19" ht="13.2" x14ac:dyDescent="0.25">
      <c r="B101" s="18" t="str">
        <f>[2]Base!A101</f>
        <v>AGRA INCORP</v>
      </c>
      <c r="C101" s="19" t="str">
        <f>[2]Base!C101</f>
        <v>NM</v>
      </c>
      <c r="D101" s="19" t="str">
        <f>[2]Base!EQ101</f>
        <v>Construção Civil</v>
      </c>
      <c r="E101" s="19" t="str">
        <f>[2]Base!M101</f>
        <v>Credit Suisse</v>
      </c>
      <c r="F101" s="19" t="str">
        <f>[2]Base!F101</f>
        <v>IPO</v>
      </c>
      <c r="G101" s="19" t="str">
        <f>[2]Base!G101</f>
        <v>ICVM 400</v>
      </c>
      <c r="H101" s="20">
        <f>[2]Base!X101</f>
        <v>39196</v>
      </c>
      <c r="I101" s="21">
        <f>[2]Base!W101</f>
        <v>8.5</v>
      </c>
      <c r="J101" s="22">
        <f>[2]Base!J101</f>
        <v>39198</v>
      </c>
      <c r="K101" s="23">
        <f>[2]Base!BL101</f>
        <v>5328</v>
      </c>
      <c r="L101" s="23">
        <f>[2]Base!DZ101</f>
        <v>5651</v>
      </c>
      <c r="M101" s="24">
        <f>[2]Base!AO101</f>
        <v>752348515</v>
      </c>
      <c r="N101" s="24">
        <f>[2]Base!AP101</f>
        <v>33688985</v>
      </c>
      <c r="O101" s="25">
        <f>[2]Base!AQ101</f>
        <v>786037500</v>
      </c>
      <c r="P101" s="26">
        <f>[2]Base!EF101</f>
        <v>7.165930251419303E-2</v>
      </c>
      <c r="Q101" s="26">
        <f>[2]Base!EH101</f>
        <v>0.25064001081373344</v>
      </c>
      <c r="R101" s="26">
        <f>[2]Base!EJ101</f>
        <v>0.67498030819140309</v>
      </c>
      <c r="S101" s="27">
        <f>[2]Base!EL101</f>
        <v>2.7203784806704517E-3</v>
      </c>
    </row>
    <row r="102" spans="2:19" ht="13.2" x14ac:dyDescent="0.25">
      <c r="B102" s="18" t="str">
        <f>[2]Base!A102</f>
        <v>USIMINAS</v>
      </c>
      <c r="C102" s="19" t="str">
        <f>[2]Base!C102</f>
        <v>BÁSICO</v>
      </c>
      <c r="D102" s="19" t="str">
        <f>[2]Base!EQ102</f>
        <v>Siderurgia</v>
      </c>
      <c r="E102" s="19" t="str">
        <f>[2]Base!M102</f>
        <v>Merrill Lynch</v>
      </c>
      <c r="F102" s="19" t="str">
        <f>[2]Base!F102</f>
        <v>FOLLOW-ON</v>
      </c>
      <c r="G102" s="19" t="str">
        <f>[2]Base!G102</f>
        <v>ICVM 400</v>
      </c>
      <c r="H102" s="20">
        <f>[2]Base!X102</f>
        <v>39197</v>
      </c>
      <c r="I102" s="21">
        <f>[2]Base!W102</f>
        <v>110</v>
      </c>
      <c r="J102" s="22">
        <f>[2]Base!J102</f>
        <v>39199</v>
      </c>
      <c r="K102" s="23">
        <f>[2]Base!BL102</f>
        <v>7045</v>
      </c>
      <c r="L102" s="23">
        <f>[2]Base!DZ102</f>
        <v>7789</v>
      </c>
      <c r="M102" s="24">
        <f>[2]Base!AO102</f>
        <v>0</v>
      </c>
      <c r="N102" s="24">
        <f>[2]Base!AP102</f>
        <v>2069007490</v>
      </c>
      <c r="O102" s="25">
        <f>[2]Base!AQ102</f>
        <v>2069007490</v>
      </c>
      <c r="P102" s="26">
        <f>[2]Base!EF102</f>
        <v>5.8990912585232459E-2</v>
      </c>
      <c r="Q102" s="26">
        <f>[2]Base!EH102</f>
        <v>0.24308114693767627</v>
      </c>
      <c r="R102" s="26">
        <f>[2]Base!EJ102</f>
        <v>0.69470308829783978</v>
      </c>
      <c r="S102" s="27">
        <f>[2]Base!EL102</f>
        <v>3.2248521792514716E-3</v>
      </c>
    </row>
    <row r="103" spans="2:19" ht="13.2" x14ac:dyDescent="0.25">
      <c r="B103" s="18" t="str">
        <f>[2]Base!A103</f>
        <v>CREMER</v>
      </c>
      <c r="C103" s="19" t="str">
        <f>[2]Base!C103</f>
        <v>NM</v>
      </c>
      <c r="D103" s="19" t="str">
        <f>[2]Base!EQ103</f>
        <v>Medicamentos e Outros Produtos</v>
      </c>
      <c r="E103" s="19" t="str">
        <f>[2]Base!M103</f>
        <v>Merrill Lynch</v>
      </c>
      <c r="F103" s="19" t="str">
        <f>[2]Base!F103</f>
        <v>IPO</v>
      </c>
      <c r="G103" s="19" t="str">
        <f>[2]Base!G103</f>
        <v>ICVM 400</v>
      </c>
      <c r="H103" s="20">
        <f>[2]Base!X103</f>
        <v>39198</v>
      </c>
      <c r="I103" s="21">
        <f>[2]Base!W103</f>
        <v>17.5</v>
      </c>
      <c r="J103" s="22">
        <f>[2]Base!J103</f>
        <v>39202</v>
      </c>
      <c r="K103" s="23">
        <f>[2]Base!BL103</f>
        <v>9370</v>
      </c>
      <c r="L103" s="23">
        <f>[2]Base!DZ103</f>
        <v>9717</v>
      </c>
      <c r="M103" s="24">
        <f>[2]Base!AO103</f>
        <v>210000000</v>
      </c>
      <c r="N103" s="24">
        <f>[2]Base!AP103</f>
        <v>341631500</v>
      </c>
      <c r="O103" s="25">
        <f>[2]Base!AQ103</f>
        <v>551631500</v>
      </c>
      <c r="P103" s="26">
        <f>[2]Base!EF103</f>
        <v>8.5369216202125051E-2</v>
      </c>
      <c r="Q103" s="26">
        <f>[2]Base!EH103</f>
        <v>0.15720361125926635</v>
      </c>
      <c r="R103" s="26">
        <f>[2]Base!EJ103</f>
        <v>0.75583284891560343</v>
      </c>
      <c r="S103" s="27">
        <f>[2]Base!EL103</f>
        <v>1.5943236230051478E-3</v>
      </c>
    </row>
    <row r="104" spans="2:19" ht="13.2" x14ac:dyDescent="0.25">
      <c r="B104" s="18" t="str">
        <f>[2]Base!A104</f>
        <v>WILSON SONS</v>
      </c>
      <c r="C104" s="19" t="str">
        <f>[2]Base!C104</f>
        <v>BDR</v>
      </c>
      <c r="D104" s="19" t="str">
        <f>[2]Base!EQ104</f>
        <v>Serviços de Apoio e Armazenagem</v>
      </c>
      <c r="E104" s="19" t="str">
        <f>[2]Base!M104</f>
        <v>Credit Suisse</v>
      </c>
      <c r="F104" s="19" t="str">
        <f>[2]Base!F104</f>
        <v>IPO</v>
      </c>
      <c r="G104" s="19" t="str">
        <f>[2]Base!G104</f>
        <v>ICVM 400</v>
      </c>
      <c r="H104" s="20">
        <f>[2]Base!X104</f>
        <v>39198</v>
      </c>
      <c r="I104" s="21">
        <f>[2]Base!W104</f>
        <v>23.77</v>
      </c>
      <c r="J104" s="22">
        <f>[2]Base!J104</f>
        <v>39202</v>
      </c>
      <c r="K104" s="23">
        <f>[2]Base!BL104</f>
        <v>11775</v>
      </c>
      <c r="L104" s="23">
        <f>[2]Base!DZ104</f>
        <v>12393</v>
      </c>
      <c r="M104" s="24">
        <f>[2]Base!AO104</f>
        <v>261470000</v>
      </c>
      <c r="N104" s="24">
        <f>[2]Base!AP104</f>
        <v>444499000</v>
      </c>
      <c r="O104" s="25">
        <f>[2]Base!AQ104</f>
        <v>705969000</v>
      </c>
      <c r="P104" s="26">
        <f>[2]Base!EF104</f>
        <v>7.3848552188552186E-2</v>
      </c>
      <c r="Q104" s="26">
        <f>[2]Base!EH104</f>
        <v>0.13604070707070706</v>
      </c>
      <c r="R104" s="26">
        <f>[2]Base!EJ104</f>
        <v>0.74198851851851855</v>
      </c>
      <c r="S104" s="27">
        <f>[2]Base!EL104</f>
        <v>4.8122222222222226E-2</v>
      </c>
    </row>
    <row r="105" spans="2:19" ht="13.2" x14ac:dyDescent="0.25">
      <c r="B105" s="18" t="str">
        <f>[2]Base!A105</f>
        <v>SOFISA</v>
      </c>
      <c r="C105" s="19" t="str">
        <f>[2]Base!C105</f>
        <v>N1</v>
      </c>
      <c r="D105" s="19" t="str">
        <f>[2]Base!EQ105</f>
        <v>Bancos</v>
      </c>
      <c r="E105" s="19" t="str">
        <f>[2]Base!M105</f>
        <v>UBS</v>
      </c>
      <c r="F105" s="19" t="str">
        <f>[2]Base!F105</f>
        <v>IPO</v>
      </c>
      <c r="G105" s="19" t="str">
        <f>[2]Base!G105</f>
        <v>ICVM 400</v>
      </c>
      <c r="H105" s="20">
        <f>[2]Base!X105</f>
        <v>39197</v>
      </c>
      <c r="I105" s="21">
        <f>[2]Base!W105</f>
        <v>12</v>
      </c>
      <c r="J105" s="22">
        <f>[2]Base!J105</f>
        <v>39204</v>
      </c>
      <c r="K105" s="23">
        <f>[2]Base!BL105</f>
        <v>7238</v>
      </c>
      <c r="L105" s="23">
        <f>[2]Base!DZ105</f>
        <v>7521</v>
      </c>
      <c r="M105" s="24">
        <f>[2]Base!AO105</f>
        <v>497336256</v>
      </c>
      <c r="N105" s="24">
        <f>[2]Base!AP105</f>
        <v>7207728</v>
      </c>
      <c r="O105" s="25">
        <f>[2]Base!AQ105</f>
        <v>504543984</v>
      </c>
      <c r="P105" s="26">
        <f>[2]Base!EF105</f>
        <v>8.7162256204802946E-2</v>
      </c>
      <c r="Q105" s="26">
        <f>[2]Base!EH105</f>
        <v>0.15108692684362679</v>
      </c>
      <c r="R105" s="26">
        <f>[2]Base!EJ105</f>
        <v>0.7595713360046723</v>
      </c>
      <c r="S105" s="27">
        <f>[2]Base!EL105</f>
        <v>2.1794809468979816E-3</v>
      </c>
    </row>
    <row r="106" spans="2:19" ht="13.2" x14ac:dyDescent="0.25">
      <c r="B106" s="18" t="str">
        <f>[2]Base!A106</f>
        <v>TARPON</v>
      </c>
      <c r="C106" s="19" t="str">
        <f>[2]Base!C106</f>
        <v>BDR</v>
      </c>
      <c r="D106" s="19" t="str">
        <f>[2]Base!EQ106</f>
        <v>Holdings Diversificadas</v>
      </c>
      <c r="E106" s="19" t="str">
        <f>[2]Base!M106</f>
        <v>Credit Suisse</v>
      </c>
      <c r="F106" s="19" t="str">
        <f>[2]Base!F106</f>
        <v>IPO</v>
      </c>
      <c r="G106" s="19" t="str">
        <f>[2]Base!G106</f>
        <v>ICVM 400</v>
      </c>
      <c r="H106" s="20">
        <f>[2]Base!X106</f>
        <v>39231</v>
      </c>
      <c r="I106" s="21">
        <f>[2]Base!W106</f>
        <v>22</v>
      </c>
      <c r="J106" s="22">
        <f>[2]Base!J106</f>
        <v>39233</v>
      </c>
      <c r="K106" s="23">
        <f>[2]Base!BL106</f>
        <v>10631</v>
      </c>
      <c r="L106" s="23">
        <f>[2]Base!DZ106</f>
        <v>10949</v>
      </c>
      <c r="M106" s="24">
        <f>[2]Base!AO106</f>
        <v>443828000</v>
      </c>
      <c r="N106" s="24">
        <f>[2]Base!AP106</f>
        <v>0</v>
      </c>
      <c r="O106" s="25">
        <f>[2]Base!AQ106</f>
        <v>443828000</v>
      </c>
      <c r="P106" s="26">
        <f>[2]Base!EF106</f>
        <v>8.5689338892197736E-2</v>
      </c>
      <c r="Q106" s="26">
        <f>[2]Base!EH106</f>
        <v>3.1145634306134602E-2</v>
      </c>
      <c r="R106" s="26">
        <f>[2]Base!EJ106</f>
        <v>0.86975580702799282</v>
      </c>
      <c r="S106" s="27">
        <f>[2]Base!EL106</f>
        <v>1.3409219773674807E-2</v>
      </c>
    </row>
    <row r="107" spans="2:19" ht="13.2" x14ac:dyDescent="0.25">
      <c r="B107" s="18" t="str">
        <f>[2]Base!A107</f>
        <v>INPAR S/A</v>
      </c>
      <c r="C107" s="19" t="str">
        <f>[2]Base!C107</f>
        <v>NM</v>
      </c>
      <c r="D107" s="19" t="str">
        <f>[2]Base!EQ107</f>
        <v>Construção Civil</v>
      </c>
      <c r="E107" s="19" t="str">
        <f>[2]Base!M107</f>
        <v>Credit Suisse</v>
      </c>
      <c r="F107" s="19" t="str">
        <f>[2]Base!F107</f>
        <v>IPO</v>
      </c>
      <c r="G107" s="19" t="str">
        <f>[2]Base!G107</f>
        <v>ICVM 400</v>
      </c>
      <c r="H107" s="20">
        <f>[2]Base!X107</f>
        <v>39237</v>
      </c>
      <c r="I107" s="21">
        <f>[2]Base!W107</f>
        <v>17.5</v>
      </c>
      <c r="J107" s="22">
        <f>[2]Base!J107</f>
        <v>39239</v>
      </c>
      <c r="K107" s="23">
        <f>[2]Base!BL107</f>
        <v>9532</v>
      </c>
      <c r="L107" s="23">
        <f>[2]Base!DZ107</f>
        <v>10114</v>
      </c>
      <c r="M107" s="24">
        <f>[2]Base!AO107</f>
        <v>756000000</v>
      </c>
      <c r="N107" s="24">
        <f>[2]Base!AP107</f>
        <v>0</v>
      </c>
      <c r="O107" s="25">
        <f>[2]Base!AQ107</f>
        <v>756000000</v>
      </c>
      <c r="P107" s="26">
        <f>[2]Base!EF107</f>
        <v>8.1324212962962966E-2</v>
      </c>
      <c r="Q107" s="26">
        <f>[2]Base!EH107</f>
        <v>0.22044250000000001</v>
      </c>
      <c r="R107" s="26">
        <f>[2]Base!EJ107</f>
        <v>0.6958937268518518</v>
      </c>
      <c r="S107" s="27">
        <f>[2]Base!EL107</f>
        <v>2.339560185185185E-3</v>
      </c>
    </row>
    <row r="108" spans="2:19" ht="13.2" x14ac:dyDescent="0.25">
      <c r="B108" s="18" t="str">
        <f>[2]Base!A108</f>
        <v>PARANA</v>
      </c>
      <c r="C108" s="19" t="str">
        <f>[2]Base!C108</f>
        <v>N1</v>
      </c>
      <c r="D108" s="19" t="str">
        <f>[2]Base!EQ108</f>
        <v>Bancos</v>
      </c>
      <c r="E108" s="19" t="str">
        <f>[2]Base!M108</f>
        <v>UBS</v>
      </c>
      <c r="F108" s="19" t="str">
        <f>[2]Base!F108</f>
        <v>IPO</v>
      </c>
      <c r="G108" s="19" t="str">
        <f>[2]Base!G108</f>
        <v>ICVM 400</v>
      </c>
      <c r="H108" s="20">
        <f>[2]Base!X108</f>
        <v>39245</v>
      </c>
      <c r="I108" s="21">
        <f>[2]Base!W108</f>
        <v>14</v>
      </c>
      <c r="J108" s="22">
        <f>[2]Base!J108</f>
        <v>39247</v>
      </c>
      <c r="K108" s="23">
        <f>[2]Base!BL108</f>
        <v>8491</v>
      </c>
      <c r="L108" s="23">
        <f>[2]Base!DZ108</f>
        <v>8800</v>
      </c>
      <c r="M108" s="24">
        <f>[2]Base!AO108</f>
        <v>529200000</v>
      </c>
      <c r="N108" s="24">
        <f>[2]Base!AP108</f>
        <v>0</v>
      </c>
      <c r="O108" s="25">
        <f>[2]Base!AQ108</f>
        <v>529200000</v>
      </c>
      <c r="P108" s="26">
        <f>[2]Base!EF108</f>
        <v>0.11348703703703704</v>
      </c>
      <c r="Q108" s="26">
        <f>[2]Base!EH108</f>
        <v>0.10587037037037036</v>
      </c>
      <c r="R108" s="26">
        <f>[2]Base!EJ108</f>
        <v>0.7785144444444444</v>
      </c>
      <c r="S108" s="27">
        <f>[2]Base!EL108</f>
        <v>2.1281481481481481E-3</v>
      </c>
    </row>
    <row r="109" spans="2:19" ht="13.2" x14ac:dyDescent="0.25">
      <c r="B109" s="18" t="str">
        <f>[2]Base!A109</f>
        <v>SLC AGRICOLA</v>
      </c>
      <c r="C109" s="19" t="str">
        <f>[2]Base!C109</f>
        <v>NM</v>
      </c>
      <c r="D109" s="19" t="str">
        <f>[2]Base!EQ109</f>
        <v>Alimentos Diversos</v>
      </c>
      <c r="E109" s="19" t="str">
        <f>[2]Base!M109</f>
        <v>Credit Suisse</v>
      </c>
      <c r="F109" s="19" t="str">
        <f>[2]Base!F109</f>
        <v>IPO</v>
      </c>
      <c r="G109" s="19" t="str">
        <f>[2]Base!G109</f>
        <v>ICVM 400</v>
      </c>
      <c r="H109" s="20">
        <f>[2]Base!X109</f>
        <v>39246</v>
      </c>
      <c r="I109" s="21">
        <f>[2]Base!W109</f>
        <v>14</v>
      </c>
      <c r="J109" s="22">
        <f>[2]Base!J109</f>
        <v>39248</v>
      </c>
      <c r="K109" s="23">
        <f>[2]Base!BL109</f>
        <v>9623</v>
      </c>
      <c r="L109" s="23">
        <f>[2]Base!DZ109</f>
        <v>10166</v>
      </c>
      <c r="M109" s="24">
        <f>[2]Base!AO109</f>
        <v>308000000</v>
      </c>
      <c r="N109" s="24">
        <f>[2]Base!AP109</f>
        <v>182043750</v>
      </c>
      <c r="O109" s="25">
        <f>[2]Base!AQ109</f>
        <v>490043750</v>
      </c>
      <c r="P109" s="26">
        <f>[2]Base!EF109</f>
        <v>9.1886681546290511E-2</v>
      </c>
      <c r="Q109" s="26">
        <f>[2]Base!EH109</f>
        <v>0.2072382394429069</v>
      </c>
      <c r="R109" s="26">
        <f>[2]Base!EJ109</f>
        <v>0.69781083831800728</v>
      </c>
      <c r="S109" s="27">
        <f>[2]Base!EL109</f>
        <v>3.0642406927952862E-3</v>
      </c>
    </row>
    <row r="110" spans="2:19" ht="13.2" x14ac:dyDescent="0.25">
      <c r="B110" s="18" t="str">
        <f>[2]Base!A110</f>
        <v>LOG-IN</v>
      </c>
      <c r="C110" s="19" t="str">
        <f>[2]Base!C110</f>
        <v>NM</v>
      </c>
      <c r="D110" s="19" t="str">
        <f>[2]Base!EQ110</f>
        <v>Transporte Hidroviário</v>
      </c>
      <c r="E110" s="19" t="str">
        <f>[2]Base!M110</f>
        <v>UBS</v>
      </c>
      <c r="F110" s="19" t="str">
        <f>[2]Base!F110</f>
        <v>IPO</v>
      </c>
      <c r="G110" s="19" t="str">
        <f>[2]Base!G110</f>
        <v>ICVM 400</v>
      </c>
      <c r="H110" s="20">
        <f>[2]Base!X110</f>
        <v>39251</v>
      </c>
      <c r="I110" s="21">
        <f>[2]Base!W110</f>
        <v>14.25</v>
      </c>
      <c r="J110" s="22">
        <f>[2]Base!J110</f>
        <v>39254</v>
      </c>
      <c r="K110" s="23">
        <f>[2]Base!BL110</f>
        <v>26509</v>
      </c>
      <c r="L110" s="23">
        <f>[2]Base!DZ110</f>
        <v>28172</v>
      </c>
      <c r="M110" s="24">
        <f>[2]Base!AO110</f>
        <v>443333317.5</v>
      </c>
      <c r="N110" s="24">
        <f>[2]Base!AP110</f>
        <v>404913336.75</v>
      </c>
      <c r="O110" s="25">
        <f>[2]Base!AQ110</f>
        <v>848246654.25</v>
      </c>
      <c r="P110" s="26">
        <f>[2]Base!EF110</f>
        <v>8.6723968943965918E-2</v>
      </c>
      <c r="Q110" s="26">
        <f>[2]Base!EH110</f>
        <v>0.16357265313669819</v>
      </c>
      <c r="R110" s="26">
        <f>[2]Base!EJ110</f>
        <v>0.74697106298665961</v>
      </c>
      <c r="S110" s="27">
        <f>[2]Base!EL110</f>
        <v>2.7323149326763173E-3</v>
      </c>
    </row>
    <row r="111" spans="2:19" ht="13.2" x14ac:dyDescent="0.25">
      <c r="B111" s="18" t="str">
        <f>[2]Base!A111</f>
        <v>EZTEC</v>
      </c>
      <c r="C111" s="19" t="str">
        <f>[2]Base!C111</f>
        <v>NM</v>
      </c>
      <c r="D111" s="19" t="str">
        <f>[2]Base!EQ111</f>
        <v>Construção Civil</v>
      </c>
      <c r="E111" s="19" t="str">
        <f>[2]Base!M111</f>
        <v>UBS</v>
      </c>
      <c r="F111" s="19" t="str">
        <f>[2]Base!F111</f>
        <v>IPO</v>
      </c>
      <c r="G111" s="19" t="str">
        <f>[2]Base!G111</f>
        <v>ICVM 400</v>
      </c>
      <c r="H111" s="20">
        <f>[2]Base!X111</f>
        <v>39252</v>
      </c>
      <c r="I111" s="21">
        <f>[2]Base!W111</f>
        <v>11</v>
      </c>
      <c r="J111" s="22">
        <f>[2]Base!J111</f>
        <v>39255</v>
      </c>
      <c r="K111" s="23">
        <f>[2]Base!BL111</f>
        <v>5507</v>
      </c>
      <c r="L111" s="23">
        <f>[2]Base!DZ111</f>
        <v>5802</v>
      </c>
      <c r="M111" s="24">
        <f>[2]Base!AO111</f>
        <v>542145813</v>
      </c>
      <c r="N111" s="24">
        <f>[2]Base!AP111</f>
        <v>0</v>
      </c>
      <c r="O111" s="25">
        <f>[2]Base!AQ111</f>
        <v>542145813</v>
      </c>
      <c r="P111" s="26">
        <f>[2]Base!EF111</f>
        <v>8.4224108911452572E-2</v>
      </c>
      <c r="Q111" s="26">
        <f>[2]Base!EH111</f>
        <v>0.22720709456073951</v>
      </c>
      <c r="R111" s="26">
        <f>[2]Base!EJ111</f>
        <v>0.68114236455423849</v>
      </c>
      <c r="S111" s="27">
        <f>[2]Base!EL111</f>
        <v>7.4264319735694428E-3</v>
      </c>
    </row>
    <row r="112" spans="2:19" ht="13.2" x14ac:dyDescent="0.25">
      <c r="B112" s="18" t="str">
        <f>[2]Base!A112</f>
        <v>CRUZEIRO SUL</v>
      </c>
      <c r="C112" s="19" t="str">
        <f>[2]Base!C112</f>
        <v>N1</v>
      </c>
      <c r="D112" s="19" t="str">
        <f>[2]Base!EQ112</f>
        <v>Bancos</v>
      </c>
      <c r="E112" s="19" t="str">
        <f>[2]Base!M112</f>
        <v>UBS</v>
      </c>
      <c r="F112" s="19" t="str">
        <f>[2]Base!F112</f>
        <v>IPO</v>
      </c>
      <c r="G112" s="19" t="str">
        <f>[2]Base!G112</f>
        <v>ICVM 400</v>
      </c>
      <c r="H112" s="20">
        <f>[2]Base!X112</f>
        <v>39254</v>
      </c>
      <c r="I112" s="21">
        <f>[2]Base!W112</f>
        <v>15.5</v>
      </c>
      <c r="J112" s="22">
        <f>[2]Base!J112</f>
        <v>39259</v>
      </c>
      <c r="K112" s="23">
        <f>[2]Base!BL112</f>
        <v>4188</v>
      </c>
      <c r="L112" s="23">
        <f>[2]Base!DZ112</f>
        <v>4442</v>
      </c>
      <c r="M112" s="24">
        <f>[2]Base!AO112</f>
        <v>439695785</v>
      </c>
      <c r="N112" s="24">
        <f>[2]Base!AP112</f>
        <v>133820459</v>
      </c>
      <c r="O112" s="25">
        <f>[2]Base!AQ112</f>
        <v>573516244</v>
      </c>
      <c r="P112" s="26">
        <f>[2]Base!EF112</f>
        <v>8.3260549010821361E-2</v>
      </c>
      <c r="Q112" s="26">
        <f>[2]Base!EH112</f>
        <v>1.0036897922068948E-2</v>
      </c>
      <c r="R112" s="26">
        <f>[2]Base!EJ112</f>
        <v>0.59205433882625191</v>
      </c>
      <c r="S112" s="27">
        <f>[2]Base!EL112</f>
        <v>0.31464821424085782</v>
      </c>
    </row>
    <row r="113" spans="2:19" ht="13.2" x14ac:dyDescent="0.25">
      <c r="B113" s="18" t="str">
        <f>[2]Base!A113</f>
        <v>DAYCOVAL</v>
      </c>
      <c r="C113" s="19" t="str">
        <f>[2]Base!C113</f>
        <v>N1</v>
      </c>
      <c r="D113" s="19" t="str">
        <f>[2]Base!EQ113</f>
        <v>Bancos</v>
      </c>
      <c r="E113" s="19" t="str">
        <f>[2]Base!M113</f>
        <v>UBS</v>
      </c>
      <c r="F113" s="19" t="str">
        <f>[2]Base!F113</f>
        <v>IPO</v>
      </c>
      <c r="G113" s="19" t="str">
        <f>[2]Base!G113</f>
        <v>ICVM 400</v>
      </c>
      <c r="H113" s="20">
        <f>[2]Base!X113</f>
        <v>39259</v>
      </c>
      <c r="I113" s="21">
        <f>[2]Base!W113</f>
        <v>17</v>
      </c>
      <c r="J113" s="22">
        <f>[2]Base!J113</f>
        <v>39262</v>
      </c>
      <c r="K113" s="23">
        <f>[2]Base!BL113</f>
        <v>7518</v>
      </c>
      <c r="L113" s="23">
        <f>[2]Base!DZ113</f>
        <v>8014</v>
      </c>
      <c r="M113" s="24">
        <f>[2]Base!AO113</f>
        <v>936406104</v>
      </c>
      <c r="N113" s="24">
        <f>[2]Base!AP113</f>
        <v>156067684</v>
      </c>
      <c r="O113" s="25">
        <f>[2]Base!AQ113</f>
        <v>1092473788</v>
      </c>
      <c r="P113" s="26">
        <f>[2]Base!EF113</f>
        <v>8.8968386306033737E-2</v>
      </c>
      <c r="Q113" s="26">
        <f>[2]Base!EH113</f>
        <v>0.19154168941946276</v>
      </c>
      <c r="R113" s="26">
        <f>[2]Base!EJ113</f>
        <v>0.69751996649277959</v>
      </c>
      <c r="S113" s="27">
        <f>[2]Base!EL113</f>
        <v>2.1969957781723913E-2</v>
      </c>
    </row>
    <row r="114" spans="2:19" ht="13.2" x14ac:dyDescent="0.25">
      <c r="B114" s="18" t="str">
        <f>[2]Base!A114</f>
        <v>MARFRIG</v>
      </c>
      <c r="C114" s="19" t="str">
        <f>[2]Base!C114</f>
        <v>NM</v>
      </c>
      <c r="D114" s="19" t="str">
        <f>[2]Base!EQ114</f>
        <v>Carnes e Derivados</v>
      </c>
      <c r="E114" s="19" t="str">
        <f>[2]Base!M114</f>
        <v>Merrill Lynch</v>
      </c>
      <c r="F114" s="19" t="str">
        <f>[2]Base!F114</f>
        <v>IPO</v>
      </c>
      <c r="G114" s="19" t="str">
        <f>[2]Base!G114</f>
        <v>ICVM 400</v>
      </c>
      <c r="H114" s="20">
        <f>[2]Base!X114</f>
        <v>39259</v>
      </c>
      <c r="I114" s="21">
        <f>[2]Base!W114</f>
        <v>17</v>
      </c>
      <c r="J114" s="22">
        <f>[2]Base!J114</f>
        <v>39262</v>
      </c>
      <c r="K114" s="23">
        <f>[2]Base!BL114</f>
        <v>4899</v>
      </c>
      <c r="L114" s="23">
        <f>[2]Base!DZ114</f>
        <v>5527</v>
      </c>
      <c r="M114" s="24">
        <f>[2]Base!AO114</f>
        <v>654065548</v>
      </c>
      <c r="N114" s="24">
        <f>[2]Base!AP114</f>
        <v>366444452</v>
      </c>
      <c r="O114" s="25">
        <f>[2]Base!AQ114</f>
        <v>1020510000</v>
      </c>
      <c r="P114" s="26">
        <f>[2]Base!EF114</f>
        <v>4.729032150591371E-2</v>
      </c>
      <c r="Q114" s="26">
        <f>[2]Base!EH114</f>
        <v>0.26923170081625852</v>
      </c>
      <c r="R114" s="26">
        <f>[2]Base!EJ114</f>
        <v>0.67865817091454272</v>
      </c>
      <c r="S114" s="27">
        <f>[2]Base!EL114</f>
        <v>4.819806763285024E-3</v>
      </c>
    </row>
    <row r="115" spans="2:19" ht="13.2" x14ac:dyDescent="0.25">
      <c r="B115" s="18" t="str">
        <f>[2]Base!A115</f>
        <v>TEGMA</v>
      </c>
      <c r="C115" s="19" t="str">
        <f>[2]Base!C115</f>
        <v>NM</v>
      </c>
      <c r="D115" s="19" t="str">
        <f>[2]Base!EQ115</f>
        <v>Transporte Rodoviário</v>
      </c>
      <c r="E115" s="19" t="str">
        <f>[2]Base!M115</f>
        <v>JP Morgan</v>
      </c>
      <c r="F115" s="19" t="str">
        <f>[2]Base!F115</f>
        <v>IPO</v>
      </c>
      <c r="G115" s="19" t="str">
        <f>[2]Base!G115</f>
        <v>ICVM 400</v>
      </c>
      <c r="H115" s="20">
        <f>[2]Base!X115</f>
        <v>39261</v>
      </c>
      <c r="I115" s="21">
        <f>[2]Base!W115</f>
        <v>26</v>
      </c>
      <c r="J115" s="22">
        <f>[2]Base!J115</f>
        <v>39266</v>
      </c>
      <c r="K115" s="23">
        <f>[2]Base!BL115</f>
        <v>6714</v>
      </c>
      <c r="L115" s="23">
        <f>[2]Base!DZ115</f>
        <v>7147</v>
      </c>
      <c r="M115" s="24">
        <f>[2]Base!AO115</f>
        <v>290228506.10000002</v>
      </c>
      <c r="N115" s="24">
        <f>[2]Base!AP115</f>
        <v>313751493.89999998</v>
      </c>
      <c r="O115" s="25">
        <f>[2]Base!AQ115</f>
        <v>603980000</v>
      </c>
      <c r="P115" s="26">
        <f>[2]Base!EF115</f>
        <v>8.8064743865690923E-2</v>
      </c>
      <c r="Q115" s="26">
        <f>[2]Base!EH115</f>
        <v>0.31941304347826088</v>
      </c>
      <c r="R115" s="26">
        <f>[2]Base!EJ115</f>
        <v>0.59044782608695656</v>
      </c>
      <c r="S115" s="27">
        <f>[2]Base!EL115</f>
        <v>2.0743865690916919E-3</v>
      </c>
    </row>
    <row r="116" spans="2:19" ht="13.2" x14ac:dyDescent="0.25">
      <c r="B116" s="18" t="str">
        <f>[2]Base!A116</f>
        <v>DROGASIL</v>
      </c>
      <c r="C116" s="19" t="str">
        <f>[2]Base!C116</f>
        <v>NM</v>
      </c>
      <c r="D116" s="19" t="str">
        <f>[2]Base!EQ116</f>
        <v>Medicamentos</v>
      </c>
      <c r="E116" s="19" t="str">
        <f>[2]Base!M116</f>
        <v>UBS</v>
      </c>
      <c r="F116" s="19" t="str">
        <f>[2]Base!F116</f>
        <v>FOLLOW-ON</v>
      </c>
      <c r="G116" s="19" t="str">
        <f>[2]Base!G116</f>
        <v>ICVM 400</v>
      </c>
      <c r="H116" s="20">
        <f>[2]Base!X116</f>
        <v>39261</v>
      </c>
      <c r="I116" s="21">
        <f>[2]Base!W116</f>
        <v>15</v>
      </c>
      <c r="J116" s="22">
        <f>[2]Base!J116</f>
        <v>39266</v>
      </c>
      <c r="K116" s="23">
        <f>[2]Base!BL116</f>
        <v>7204</v>
      </c>
      <c r="L116" s="23">
        <f>[2]Base!DZ116</f>
        <v>7676</v>
      </c>
      <c r="M116" s="24">
        <f>[2]Base!AO116</f>
        <v>235400100</v>
      </c>
      <c r="N116" s="24">
        <f>[2]Base!AP116</f>
        <v>157290300</v>
      </c>
      <c r="O116" s="25">
        <f>[2]Base!AQ116</f>
        <v>392690400</v>
      </c>
      <c r="P116" s="26">
        <f>[2]Base!EF116</f>
        <v>9.9862754475281285E-2</v>
      </c>
      <c r="Q116" s="26">
        <f>[2]Base!EH116</f>
        <v>0.22867743902066362</v>
      </c>
      <c r="R116" s="26">
        <f>[2]Base!EJ116</f>
        <v>0.66993242004388187</v>
      </c>
      <c r="S116" s="27">
        <f>[2]Base!EL116</f>
        <v>1.5273864601732052E-3</v>
      </c>
    </row>
    <row r="117" spans="2:19" ht="13.2" x14ac:dyDescent="0.25">
      <c r="B117" s="18" t="str">
        <f>[2]Base!A117</f>
        <v>INDUSVAL</v>
      </c>
      <c r="C117" s="19" t="str">
        <f>[2]Base!C117</f>
        <v>N2</v>
      </c>
      <c r="D117" s="19" t="str">
        <f>[2]Base!EQ117</f>
        <v>Bancos</v>
      </c>
      <c r="E117" s="19" t="str">
        <f>[2]Base!M117</f>
        <v>Credit Suisse</v>
      </c>
      <c r="F117" s="19" t="str">
        <f>[2]Base!F117</f>
        <v>IPO</v>
      </c>
      <c r="G117" s="19" t="str">
        <f>[2]Base!G117</f>
        <v>ICVM 400</v>
      </c>
      <c r="H117" s="20">
        <f>[2]Base!X117</f>
        <v>39273</v>
      </c>
      <c r="I117" s="21">
        <f>[2]Base!W117</f>
        <v>17.5</v>
      </c>
      <c r="J117" s="22">
        <f>[2]Base!J117</f>
        <v>39275</v>
      </c>
      <c r="K117" s="23">
        <f>[2]Base!BL117</f>
        <v>283</v>
      </c>
      <c r="L117" s="23">
        <f>[2]Base!DZ117</f>
        <v>348</v>
      </c>
      <c r="M117" s="24">
        <f>[2]Base!AO117</f>
        <v>227500017.5</v>
      </c>
      <c r="N117" s="24">
        <f>[2]Base!AP117</f>
        <v>25060752.5</v>
      </c>
      <c r="O117" s="25">
        <f>[2]Base!AQ117</f>
        <v>252560770</v>
      </c>
      <c r="P117" s="26">
        <f>[2]Base!EF117</f>
        <v>7.6261224902982705E-2</v>
      </c>
      <c r="Q117" s="26">
        <f>[2]Base!EH117</f>
        <v>4.045622765721326E-2</v>
      </c>
      <c r="R117" s="26">
        <f>[2]Base!EJ117</f>
        <v>0.87974539386573891</v>
      </c>
      <c r="S117" s="27">
        <f>[2]Base!EL117</f>
        <v>3.5371535740651096E-3</v>
      </c>
    </row>
    <row r="118" spans="2:19" ht="13.2" x14ac:dyDescent="0.25">
      <c r="B118" s="18" t="str">
        <f>[2]Base!A118</f>
        <v>REDECARD</v>
      </c>
      <c r="C118" s="19" t="str">
        <f>[2]Base!C118</f>
        <v>NM</v>
      </c>
      <c r="D118" s="19" t="str">
        <f>[2]Base!EQ118</f>
        <v>Serviços Financeiros Diversos</v>
      </c>
      <c r="E118" s="19" t="str">
        <f>[2]Base!M118</f>
        <v>Unibanco</v>
      </c>
      <c r="F118" s="19" t="str">
        <f>[2]Base!F118</f>
        <v>IPO</v>
      </c>
      <c r="G118" s="19" t="str">
        <f>[2]Base!G118</f>
        <v>ICVM 400</v>
      </c>
      <c r="H118" s="20">
        <f>[2]Base!X118</f>
        <v>39274</v>
      </c>
      <c r="I118" s="21">
        <f>[2]Base!W118</f>
        <v>27</v>
      </c>
      <c r="J118" s="22">
        <f>[2]Base!J118</f>
        <v>39276</v>
      </c>
      <c r="K118" s="23">
        <f>[2]Base!BL118</f>
        <v>29315</v>
      </c>
      <c r="L118" s="23">
        <f>[2]Base!DZ118</f>
        <v>31297</v>
      </c>
      <c r="M118" s="24">
        <f>[2]Base!AO118</f>
        <v>419999985</v>
      </c>
      <c r="N118" s="24">
        <f>[2]Base!AP118</f>
        <v>4222694700</v>
      </c>
      <c r="O118" s="25">
        <f>[2]Base!AQ118</f>
        <v>4642694685</v>
      </c>
      <c r="P118" s="26">
        <f>[2]Base!EF118</f>
        <v>8.895317698454254E-2</v>
      </c>
      <c r="Q118" s="26">
        <f>[2]Base!EH118</f>
        <v>0.19214644371989326</v>
      </c>
      <c r="R118" s="26">
        <f>[2]Base!EJ118</f>
        <v>0.71547075833611484</v>
      </c>
      <c r="S118" s="27">
        <f>[2]Base!EL118</f>
        <v>3.429620959449329E-3</v>
      </c>
    </row>
    <row r="119" spans="2:19" ht="13.2" x14ac:dyDescent="0.25">
      <c r="B119" s="18" t="str">
        <f>[2]Base!A119</f>
        <v>INVEST TUR</v>
      </c>
      <c r="C119" s="19" t="str">
        <f>[2]Base!C119</f>
        <v>NM</v>
      </c>
      <c r="D119" s="19" t="str">
        <f>[2]Base!EQ119</f>
        <v>Exploração de Imóveis</v>
      </c>
      <c r="E119" s="19" t="str">
        <f>[2]Base!M119</f>
        <v>Credit Suisse</v>
      </c>
      <c r="F119" s="19" t="str">
        <f>[2]Base!F119</f>
        <v>IPO</v>
      </c>
      <c r="G119" s="19" t="str">
        <f>[2]Base!G119</f>
        <v>ICVM 400</v>
      </c>
      <c r="H119" s="20">
        <f>[2]Base!X119</f>
        <v>39275</v>
      </c>
      <c r="I119" s="21">
        <f>[2]Base!W119</f>
        <v>1000</v>
      </c>
      <c r="J119" s="22">
        <f>[2]Base!J119</f>
        <v>39279</v>
      </c>
      <c r="K119" s="23">
        <f>[2]Base!BL119</f>
        <v>16</v>
      </c>
      <c r="L119" s="23">
        <f>[2]Base!DZ119</f>
        <v>114</v>
      </c>
      <c r="M119" s="24">
        <f>[2]Base!AO119</f>
        <v>945000000</v>
      </c>
      <c r="N119" s="24">
        <f>[2]Base!AP119</f>
        <v>0</v>
      </c>
      <c r="O119" s="25">
        <f>[2]Base!AQ119</f>
        <v>945000000</v>
      </c>
      <c r="P119" s="26">
        <f>[2]Base!EF119</f>
        <v>9.1005291005291002E-3</v>
      </c>
      <c r="Q119" s="26">
        <f>[2]Base!EH119</f>
        <v>5.9894179894179896E-2</v>
      </c>
      <c r="R119" s="26">
        <f>[2]Base!EJ119</f>
        <v>0.8720634920634921</v>
      </c>
      <c r="S119" s="27">
        <f>[2]Base!EL119</f>
        <v>5.8941798941798941E-2</v>
      </c>
    </row>
    <row r="120" spans="2:19" ht="13.2" x14ac:dyDescent="0.25">
      <c r="B120" s="18" t="str">
        <f>[2]Base!A120</f>
        <v>MINERVA</v>
      </c>
      <c r="C120" s="19" t="str">
        <f>[2]Base!C120</f>
        <v>NM</v>
      </c>
      <c r="D120" s="19" t="str">
        <f>[2]Base!EQ120</f>
        <v>Carnes e Derivados</v>
      </c>
      <c r="E120" s="19" t="str">
        <f>[2]Base!M120</f>
        <v>Credit Suisse</v>
      </c>
      <c r="F120" s="19" t="str">
        <f>[2]Base!F120</f>
        <v>IPO</v>
      </c>
      <c r="G120" s="19" t="str">
        <f>[2]Base!G120</f>
        <v>ICVM 400</v>
      </c>
      <c r="H120" s="20">
        <f>[2]Base!X120</f>
        <v>39281</v>
      </c>
      <c r="I120" s="21">
        <f>[2]Base!W120</f>
        <v>18.5</v>
      </c>
      <c r="J120" s="22">
        <f>[2]Base!J120</f>
        <v>39283</v>
      </c>
      <c r="K120" s="23">
        <f>[2]Base!BL120</f>
        <v>11539</v>
      </c>
      <c r="L120" s="23">
        <f>[2]Base!DZ120</f>
        <v>12115</v>
      </c>
      <c r="M120" s="24">
        <f>[2]Base!AO120</f>
        <v>370000000</v>
      </c>
      <c r="N120" s="24">
        <f>[2]Base!AP120</f>
        <v>74000000</v>
      </c>
      <c r="O120" s="25">
        <f>[2]Base!AQ120</f>
        <v>444000000</v>
      </c>
      <c r="P120" s="26">
        <f>[2]Base!EF120</f>
        <v>0.10461865942028986</v>
      </c>
      <c r="Q120" s="26">
        <f>[2]Base!EH120</f>
        <v>0.27791492753623187</v>
      </c>
      <c r="R120" s="26">
        <f>[2]Base!EJ120</f>
        <v>0.6155805797101449</v>
      </c>
      <c r="S120" s="27">
        <f>[2]Base!EL120</f>
        <v>1.8858333333333333E-3</v>
      </c>
    </row>
    <row r="121" spans="2:19" ht="13.2" x14ac:dyDescent="0.25">
      <c r="B121" s="18" t="str">
        <f>[2]Base!A121</f>
        <v>PATAGONIA ¹</v>
      </c>
      <c r="C121" s="19" t="str">
        <f>[2]Base!C121</f>
        <v>BDR</v>
      </c>
      <c r="D121" s="19" t="str">
        <f>[2]Base!EQ121</f>
        <v>Bancos</v>
      </c>
      <c r="E121" s="19" t="str">
        <f>[2]Base!M121</f>
        <v>JP Morgan</v>
      </c>
      <c r="F121" s="19" t="str">
        <f>[2]Base!F121</f>
        <v>IPO</v>
      </c>
      <c r="G121" s="19" t="str">
        <f>[2]Base!G121</f>
        <v>ICVM 400</v>
      </c>
      <c r="H121" s="20">
        <f>[2]Base!X121</f>
        <v>39281</v>
      </c>
      <c r="I121" s="21">
        <f>[2]Base!W121</f>
        <v>48.38</v>
      </c>
      <c r="J121" s="22">
        <f>[2]Base!J121</f>
        <v>39283</v>
      </c>
      <c r="K121" s="23">
        <f>[2]Base!BL121</f>
        <v>2830</v>
      </c>
      <c r="L121" s="23">
        <f>[2]Base!DZ121</f>
        <v>2917</v>
      </c>
      <c r="M121" s="24">
        <f>[2]Base!AO121</f>
        <v>7619850</v>
      </c>
      <c r="N121" s="24">
        <f>[2]Base!AP121</f>
        <v>68336750</v>
      </c>
      <c r="O121" s="25">
        <f>[2]Base!AQ121</f>
        <v>75956600</v>
      </c>
      <c r="P121" s="26">
        <f>[2]Base!EF121</f>
        <v>6.1869565217391306E-3</v>
      </c>
      <c r="Q121" s="26">
        <f>[2]Base!EH121</f>
        <v>2.0525478260869565E-2</v>
      </c>
      <c r="R121" s="26">
        <f>[2]Base!EJ121</f>
        <v>0.97320278260869564</v>
      </c>
      <c r="S121" s="27">
        <f>[2]Base!EL121</f>
        <v>8.478260869565218E-5</v>
      </c>
    </row>
    <row r="122" spans="2:19" ht="13.2" x14ac:dyDescent="0.25">
      <c r="B122" s="18" t="str">
        <f>[2]Base!A122</f>
        <v>CIA HERING</v>
      </c>
      <c r="C122" s="19" t="str">
        <f>[2]Base!C122</f>
        <v>NM</v>
      </c>
      <c r="D122" s="19" t="str">
        <f>[2]Base!EQ122</f>
        <v>Vestuário</v>
      </c>
      <c r="E122" s="19" t="str">
        <f>[2]Base!M122</f>
        <v>Itaú BBA</v>
      </c>
      <c r="F122" s="19" t="str">
        <f>[2]Base!F122</f>
        <v>FOLLOW-ON</v>
      </c>
      <c r="G122" s="19" t="str">
        <f>[2]Base!G122</f>
        <v>ICVM 400</v>
      </c>
      <c r="H122" s="20">
        <f>[2]Base!X122</f>
        <v>39282</v>
      </c>
      <c r="I122" s="21">
        <f>[2]Base!W122</f>
        <v>11</v>
      </c>
      <c r="J122" s="22">
        <f>[2]Base!J122</f>
        <v>39286</v>
      </c>
      <c r="K122" s="23">
        <f>[2]Base!BL122</f>
        <v>9089</v>
      </c>
      <c r="L122" s="23">
        <f>[2]Base!DZ122</f>
        <v>9404</v>
      </c>
      <c r="M122" s="24">
        <f>[2]Base!AO122</f>
        <v>229163000</v>
      </c>
      <c r="N122" s="24">
        <f>[2]Base!AP122</f>
        <v>82500000</v>
      </c>
      <c r="O122" s="25">
        <f>[2]Base!AQ122</f>
        <v>311663000</v>
      </c>
      <c r="P122" s="26">
        <f>[2]Base!EF122</f>
        <v>8.3772279673878514E-2</v>
      </c>
      <c r="Q122" s="26">
        <f>[2]Base!EH122</f>
        <v>0.28175932504576778</v>
      </c>
      <c r="R122" s="26">
        <f>[2]Base!EJ122</f>
        <v>0.63107539372585975</v>
      </c>
      <c r="S122" s="27">
        <f>[2]Base!EL122</f>
        <v>3.3930015544939916E-3</v>
      </c>
    </row>
    <row r="123" spans="2:19" ht="13.2" x14ac:dyDescent="0.25">
      <c r="B123" s="18" t="str">
        <f>[2]Base!A123</f>
        <v>MRV</v>
      </c>
      <c r="C123" s="19" t="str">
        <f>[2]Base!C123</f>
        <v>NM</v>
      </c>
      <c r="D123" s="19" t="str">
        <f>[2]Base!EQ123</f>
        <v>Construção Civil</v>
      </c>
      <c r="E123" s="19" t="str">
        <f>[2]Base!M123</f>
        <v>UBS</v>
      </c>
      <c r="F123" s="19" t="str">
        <f>[2]Base!F123</f>
        <v>IPO</v>
      </c>
      <c r="G123" s="19" t="str">
        <f>[2]Base!G123</f>
        <v>ICVM 400</v>
      </c>
      <c r="H123" s="20">
        <f>[2]Base!X123</f>
        <v>39282</v>
      </c>
      <c r="I123" s="21">
        <f>[2]Base!W123</f>
        <v>26</v>
      </c>
      <c r="J123" s="22">
        <f>[2]Base!J123</f>
        <v>39286</v>
      </c>
      <c r="K123" s="23">
        <f>[2]Base!BL123</f>
        <v>15461</v>
      </c>
      <c r="L123" s="23">
        <f>[2]Base!DZ123</f>
        <v>16745</v>
      </c>
      <c r="M123" s="24">
        <f>[2]Base!AO123</f>
        <v>1071155202</v>
      </c>
      <c r="N123" s="24">
        <f>[2]Base!AP123</f>
        <v>122244798</v>
      </c>
      <c r="O123" s="25">
        <f>[2]Base!AQ123</f>
        <v>1193400000</v>
      </c>
      <c r="P123" s="26">
        <f>[2]Base!EF123</f>
        <v>7.6903420479302834E-2</v>
      </c>
      <c r="Q123" s="26">
        <f>[2]Base!EH123</f>
        <v>0.18763581699346404</v>
      </c>
      <c r="R123" s="26">
        <f>[2]Base!EJ123</f>
        <v>0.7331963616557734</v>
      </c>
      <c r="S123" s="27">
        <f>[2]Base!EL123</f>
        <v>2.264400871459695E-3</v>
      </c>
    </row>
    <row r="124" spans="2:19" ht="13.2" x14ac:dyDescent="0.25">
      <c r="B124" s="18" t="str">
        <f>[2]Base!A124</f>
        <v>KROTON</v>
      </c>
      <c r="C124" s="19" t="str">
        <f>[2]Base!C124</f>
        <v>N2</v>
      </c>
      <c r="D124" s="19" t="str">
        <f>[2]Base!EQ124</f>
        <v>Serviços Educacionais</v>
      </c>
      <c r="E124" s="19" t="str">
        <f>[2]Base!M124</f>
        <v>Morgan Stanley</v>
      </c>
      <c r="F124" s="19" t="str">
        <f>[2]Base!F124</f>
        <v>IPO</v>
      </c>
      <c r="G124" s="19" t="str">
        <f>[2]Base!G124</f>
        <v>ICVM 400</v>
      </c>
      <c r="H124" s="20">
        <f>[2]Base!X124</f>
        <v>39282</v>
      </c>
      <c r="I124" s="21">
        <f>[2]Base!W124</f>
        <v>39</v>
      </c>
      <c r="J124" s="22">
        <f>[2]Base!J124</f>
        <v>39286</v>
      </c>
      <c r="K124" s="23">
        <f>[2]Base!BL124</f>
        <v>11158</v>
      </c>
      <c r="L124" s="23">
        <f>[2]Base!DZ124</f>
        <v>12081</v>
      </c>
      <c r="M124" s="24">
        <f>[2]Base!AO124</f>
        <v>395695287</v>
      </c>
      <c r="N124" s="24">
        <f>[2]Base!AP124</f>
        <v>83078463</v>
      </c>
      <c r="O124" s="25">
        <f>[2]Base!AQ124</f>
        <v>478773750</v>
      </c>
      <c r="P124" s="26">
        <f>[2]Base!EF124</f>
        <v>9.2084634965889423E-2</v>
      </c>
      <c r="Q124" s="26">
        <f>[2]Base!EH124</f>
        <v>0.20221606761022298</v>
      </c>
      <c r="R124" s="26">
        <f>[2]Base!EJ124</f>
        <v>0.70243787801649527</v>
      </c>
      <c r="S124" s="27">
        <f>[2]Base!EL124</f>
        <v>3.2614194073923228E-3</v>
      </c>
    </row>
    <row r="125" spans="2:19" ht="13.2" x14ac:dyDescent="0.25">
      <c r="B125" s="18" t="str">
        <f>[2]Base!A125</f>
        <v>GUARANI</v>
      </c>
      <c r="C125" s="19" t="str">
        <f>[2]Base!C125</f>
        <v>NM</v>
      </c>
      <c r="D125" s="19" t="str">
        <f>[2]Base!EQ125</f>
        <v>Alimentos Diversos</v>
      </c>
      <c r="E125" s="19" t="str">
        <f>[2]Base!M125</f>
        <v>UBS</v>
      </c>
      <c r="F125" s="19" t="str">
        <f>[2]Base!F125</f>
        <v>IPO</v>
      </c>
      <c r="G125" s="19" t="str">
        <f>[2]Base!G125</f>
        <v>ICVM 400</v>
      </c>
      <c r="H125" s="20">
        <f>[2]Base!X125</f>
        <v>39282</v>
      </c>
      <c r="I125" s="21">
        <f>[2]Base!W125</f>
        <v>13.5</v>
      </c>
      <c r="J125" s="22">
        <f>[2]Base!J125</f>
        <v>39286</v>
      </c>
      <c r="K125" s="23">
        <f>[2]Base!BL125</f>
        <v>12229</v>
      </c>
      <c r="L125" s="23">
        <f>[2]Base!DZ125</f>
        <v>12750</v>
      </c>
      <c r="M125" s="24">
        <f>[2]Base!AO125</f>
        <v>665758062</v>
      </c>
      <c r="N125" s="24">
        <f>[2]Base!AP125</f>
        <v>0</v>
      </c>
      <c r="O125" s="25">
        <f>[2]Base!AQ125</f>
        <v>665758062</v>
      </c>
      <c r="P125" s="26">
        <f>[2]Base!EF125</f>
        <v>0.11163641357866029</v>
      </c>
      <c r="Q125" s="26">
        <f>[2]Base!EH125</f>
        <v>0.43603055349678765</v>
      </c>
      <c r="R125" s="26">
        <f>[2]Base!EJ125</f>
        <v>0.44979501336939859</v>
      </c>
      <c r="S125" s="27">
        <f>[2]Base!EL125</f>
        <v>2.5380195551534352E-3</v>
      </c>
    </row>
    <row r="126" spans="2:19" ht="13.2" x14ac:dyDescent="0.25">
      <c r="B126" s="18" t="str">
        <f>[2]Base!A126</f>
        <v>TRIUNFO PART</v>
      </c>
      <c r="C126" s="19" t="str">
        <f>[2]Base!C126</f>
        <v>NM</v>
      </c>
      <c r="D126" s="19" t="str">
        <f>[2]Base!EQ126</f>
        <v>Exploração de Rodovias</v>
      </c>
      <c r="E126" s="19" t="str">
        <f>[2]Base!M126</f>
        <v>Credit Suisse</v>
      </c>
      <c r="F126" s="19" t="str">
        <f>[2]Base!F126</f>
        <v>IPO</v>
      </c>
      <c r="G126" s="19" t="str">
        <f>[2]Base!G126</f>
        <v>ICVM 400</v>
      </c>
      <c r="H126" s="20">
        <f>[2]Base!X126</f>
        <v>39282</v>
      </c>
      <c r="I126" s="21">
        <f>[2]Base!W126</f>
        <v>9.5</v>
      </c>
      <c r="J126" s="22">
        <f>[2]Base!J126</f>
        <v>39286</v>
      </c>
      <c r="K126" s="23">
        <f>[2]Base!BL126</f>
        <v>7067</v>
      </c>
      <c r="L126" s="23">
        <f>[2]Base!DZ126</f>
        <v>7427</v>
      </c>
      <c r="M126" s="24">
        <f>[2]Base!AO126</f>
        <v>304438719.5</v>
      </c>
      <c r="N126" s="24">
        <f>[2]Base!AP126</f>
        <v>208561280.5</v>
      </c>
      <c r="O126" s="25">
        <f>[2]Base!AQ126</f>
        <v>513000000</v>
      </c>
      <c r="P126" s="26">
        <f>[2]Base!EF126</f>
        <v>8.5420032206119156E-2</v>
      </c>
      <c r="Q126" s="26">
        <f>[2]Base!EH126</f>
        <v>0.16731320450885667</v>
      </c>
      <c r="R126" s="26">
        <f>[2]Base!EJ126</f>
        <v>0.74539797101449279</v>
      </c>
      <c r="S126" s="27">
        <f>[2]Base!EL126</f>
        <v>1.8687922705314009E-3</v>
      </c>
    </row>
    <row r="127" spans="2:19" ht="13.2" x14ac:dyDescent="0.25">
      <c r="B127" s="18" t="str">
        <f>[2]Base!A127</f>
        <v>ABC BRASIL</v>
      </c>
      <c r="C127" s="19" t="str">
        <f>[2]Base!C127</f>
        <v>N2</v>
      </c>
      <c r="D127" s="19" t="str">
        <f>[2]Base!EQ127</f>
        <v>Bancos</v>
      </c>
      <c r="E127" s="19" t="str">
        <f>[2]Base!M127</f>
        <v>UBS</v>
      </c>
      <c r="F127" s="19" t="str">
        <f>[2]Base!F127</f>
        <v>IPO</v>
      </c>
      <c r="G127" s="19" t="str">
        <f>[2]Base!G127</f>
        <v>ICVM 400</v>
      </c>
      <c r="H127" s="20">
        <f>[2]Base!X127</f>
        <v>39286</v>
      </c>
      <c r="I127" s="21">
        <f>[2]Base!W127</f>
        <v>13.5</v>
      </c>
      <c r="J127" s="22">
        <f>[2]Base!J127</f>
        <v>39288</v>
      </c>
      <c r="K127" s="23">
        <f>[2]Base!BL127</f>
        <v>5909</v>
      </c>
      <c r="L127" s="23">
        <f>[2]Base!DZ127</f>
        <v>6364</v>
      </c>
      <c r="M127" s="24">
        <f>[2]Base!AO127</f>
        <v>599400000</v>
      </c>
      <c r="N127" s="24">
        <f>[2]Base!AP127</f>
        <v>9450000</v>
      </c>
      <c r="O127" s="25">
        <f>[2]Base!AQ127</f>
        <v>608850000</v>
      </c>
      <c r="P127" s="26">
        <f>[2]Base!EF127</f>
        <v>0.11208310810810811</v>
      </c>
      <c r="Q127" s="26">
        <f>[2]Base!EH127</f>
        <v>0.23769067567567567</v>
      </c>
      <c r="R127" s="26">
        <f>[2]Base!EJ127</f>
        <v>0.64804310810810806</v>
      </c>
      <c r="S127" s="27">
        <f>[2]Base!EL127</f>
        <v>2.183108108108108E-3</v>
      </c>
    </row>
    <row r="128" spans="2:19" ht="13.2" x14ac:dyDescent="0.25">
      <c r="B128" s="18" t="str">
        <f>[2]Base!A128</f>
        <v>SPRINGS</v>
      </c>
      <c r="C128" s="19" t="str">
        <f>[2]Base!C128</f>
        <v>NM</v>
      </c>
      <c r="D128" s="19" t="str">
        <f>[2]Base!EQ128</f>
        <v>Fios e Tecidos</v>
      </c>
      <c r="E128" s="19" t="str">
        <f>[2]Base!M128</f>
        <v>Credit Suisse</v>
      </c>
      <c r="F128" s="19" t="str">
        <f>[2]Base!F128</f>
        <v>IPO</v>
      </c>
      <c r="G128" s="19" t="str">
        <f>[2]Base!G128</f>
        <v>ICVM 400</v>
      </c>
      <c r="H128" s="20">
        <f>[2]Base!X128</f>
        <v>39288</v>
      </c>
      <c r="I128" s="21">
        <f>[2]Base!W128</f>
        <v>19</v>
      </c>
      <c r="J128" s="22">
        <f>[2]Base!J128</f>
        <v>39290</v>
      </c>
      <c r="K128" s="23">
        <f>[2]Base!BL128</f>
        <v>7307</v>
      </c>
      <c r="L128" s="23">
        <f>[2]Base!DZ128</f>
        <v>7592</v>
      </c>
      <c r="M128" s="24">
        <f>[2]Base!AO128</f>
        <v>446500000</v>
      </c>
      <c r="N128" s="24">
        <f>[2]Base!AP128</f>
        <v>209000000</v>
      </c>
      <c r="O128" s="25">
        <f>[2]Base!AQ128</f>
        <v>655500000</v>
      </c>
      <c r="P128" s="26">
        <f>[2]Base!EF128</f>
        <v>6.2804840579710142E-2</v>
      </c>
      <c r="Q128" s="26">
        <f>[2]Base!EH128</f>
        <v>0.18064202898550724</v>
      </c>
      <c r="R128" s="26">
        <f>[2]Base!EJ128</f>
        <v>0.36570678260869566</v>
      </c>
      <c r="S128" s="27">
        <f>[2]Base!EL128</f>
        <v>0.39084634782608696</v>
      </c>
    </row>
    <row r="129" spans="1:19" ht="13.2" x14ac:dyDescent="0.25">
      <c r="B129" s="18" t="str">
        <f>[2]Base!A129</f>
        <v>PROVIDENCIA</v>
      </c>
      <c r="C129" s="19" t="str">
        <f>[2]Base!C129</f>
        <v>NM</v>
      </c>
      <c r="D129" s="19" t="str">
        <f>[2]Base!EQ129</f>
        <v>Materiais Diversos</v>
      </c>
      <c r="E129" s="19" t="str">
        <f>[2]Base!M129</f>
        <v>UBS</v>
      </c>
      <c r="F129" s="19" t="str">
        <f>[2]Base!F129</f>
        <v>IPO</v>
      </c>
      <c r="G129" s="19" t="str">
        <f>[2]Base!G129</f>
        <v>ICVM 400</v>
      </c>
      <c r="H129" s="20">
        <f>[2]Base!X129</f>
        <v>39288</v>
      </c>
      <c r="I129" s="21">
        <f>[2]Base!W129</f>
        <v>15</v>
      </c>
      <c r="J129" s="22">
        <f>[2]Base!J129</f>
        <v>39290</v>
      </c>
      <c r="K129" s="23">
        <f>[2]Base!BL129</f>
        <v>11036</v>
      </c>
      <c r="L129" s="23">
        <f>[2]Base!DZ129</f>
        <v>11615</v>
      </c>
      <c r="M129" s="24">
        <f>[2]Base!AO129</f>
        <v>468750000</v>
      </c>
      <c r="N129" s="24">
        <f>[2]Base!AP129</f>
        <v>0</v>
      </c>
      <c r="O129" s="25">
        <f>[2]Base!AQ129</f>
        <v>468750000</v>
      </c>
      <c r="P129" s="26">
        <f>[2]Base!EF129</f>
        <v>9.3246636521739132E-2</v>
      </c>
      <c r="Q129" s="26">
        <f>[2]Base!EH129</f>
        <v>0.23296834782608697</v>
      </c>
      <c r="R129" s="26">
        <f>[2]Base!EJ129</f>
        <v>0.67160027826086954</v>
      </c>
      <c r="S129" s="27">
        <f>[2]Base!EL129</f>
        <v>2.1847373913043478E-3</v>
      </c>
    </row>
    <row r="130" spans="1:19" ht="13.2" x14ac:dyDescent="0.25">
      <c r="B130" s="18" t="str">
        <f>[2]Base!A130</f>
        <v>MULTIPLAN</v>
      </c>
      <c r="C130" s="19" t="str">
        <f>[2]Base!C130</f>
        <v>N2</v>
      </c>
      <c r="D130" s="19" t="str">
        <f>[2]Base!EQ130</f>
        <v>Exploração de Imóveis</v>
      </c>
      <c r="E130" s="19" t="str">
        <f>[2]Base!M130</f>
        <v>UBS</v>
      </c>
      <c r="F130" s="19" t="str">
        <f>[2]Base!F130</f>
        <v>IPO</v>
      </c>
      <c r="G130" s="19" t="str">
        <f>[2]Base!G130</f>
        <v>ICVM 400</v>
      </c>
      <c r="H130" s="20">
        <f>[2]Base!X130</f>
        <v>39288</v>
      </c>
      <c r="I130" s="21">
        <f>[2]Base!W130</f>
        <v>25</v>
      </c>
      <c r="J130" s="22">
        <f>[2]Base!J130</f>
        <v>39290</v>
      </c>
      <c r="K130" s="23">
        <f>[2]Base!BL130</f>
        <v>24137</v>
      </c>
      <c r="L130" s="23">
        <f>[2]Base!DZ130</f>
        <v>25531</v>
      </c>
      <c r="M130" s="24">
        <f>[2]Base!AO130</f>
        <v>688327725</v>
      </c>
      <c r="N130" s="24">
        <f>[2]Base!AP130</f>
        <v>236200650</v>
      </c>
      <c r="O130" s="25">
        <f>[2]Base!AQ130</f>
        <v>924528375</v>
      </c>
      <c r="P130" s="26">
        <f>[2]Base!EF130</f>
        <v>9.7230319430042358E-2</v>
      </c>
      <c r="Q130" s="26">
        <f>[2]Base!EH130</f>
        <v>0.25952620446865432</v>
      </c>
      <c r="R130" s="26">
        <f>[2]Base!EJ130</f>
        <v>0.63936613045796464</v>
      </c>
      <c r="S130" s="27">
        <f>[2]Base!EL130</f>
        <v>3.8773456433386258E-3</v>
      </c>
    </row>
    <row r="131" spans="1:19" ht="13.2" x14ac:dyDescent="0.25">
      <c r="B131" s="18" t="str">
        <f>[2]Base!A131</f>
        <v>GENERALSHOPP</v>
      </c>
      <c r="C131" s="19" t="str">
        <f>[2]Base!C131</f>
        <v>NM</v>
      </c>
      <c r="D131" s="19" t="str">
        <f>[2]Base!EQ131</f>
        <v>Exploração de Imóveis</v>
      </c>
      <c r="E131" s="19" t="str">
        <f>[2]Base!M131</f>
        <v>JP Morgan</v>
      </c>
      <c r="F131" s="19" t="str">
        <f>[2]Base!F131</f>
        <v>IPO</v>
      </c>
      <c r="G131" s="19" t="str">
        <f>[2]Base!G131</f>
        <v>ICVM 400</v>
      </c>
      <c r="H131" s="20">
        <f>[2]Base!X131</f>
        <v>39289</v>
      </c>
      <c r="I131" s="21">
        <f>[2]Base!W131</f>
        <v>14</v>
      </c>
      <c r="J131" s="22">
        <f>[2]Base!J131</f>
        <v>39293</v>
      </c>
      <c r="K131" s="23">
        <f>[2]Base!BL131</f>
        <v>4966</v>
      </c>
      <c r="L131" s="23">
        <f>[2]Base!DZ131</f>
        <v>5168</v>
      </c>
      <c r="M131" s="24">
        <f>[2]Base!AO131</f>
        <v>286728400</v>
      </c>
      <c r="N131" s="24">
        <f>[2]Base!AP131</f>
        <v>0</v>
      </c>
      <c r="O131" s="25">
        <f>[2]Base!AQ131</f>
        <v>286728400</v>
      </c>
      <c r="P131" s="26">
        <f>[2]Base!EF131</f>
        <v>9.6405663322185059E-2</v>
      </c>
      <c r="Q131" s="26">
        <f>[2]Base!EH131</f>
        <v>0.23837311036789297</v>
      </c>
      <c r="R131" s="26">
        <f>[2]Base!EJ131</f>
        <v>0.66340026755852843</v>
      </c>
      <c r="S131" s="27">
        <f>[2]Base!EL131</f>
        <v>1.8209587513935341E-3</v>
      </c>
    </row>
    <row r="132" spans="1:19" ht="13.2" x14ac:dyDescent="0.25">
      <c r="B132" s="18" t="str">
        <f>[2]Base!A132</f>
        <v>ESTACIO PART</v>
      </c>
      <c r="C132" s="19" t="str">
        <f>[2]Base!C132</f>
        <v>N2</v>
      </c>
      <c r="D132" s="19" t="str">
        <f>[2]Base!EQ132</f>
        <v>Serviços Educacionais</v>
      </c>
      <c r="E132" s="19" t="str">
        <f>[2]Base!M132</f>
        <v>UBS</v>
      </c>
      <c r="F132" s="19" t="str">
        <f>[2]Base!F132</f>
        <v>IPO</v>
      </c>
      <c r="G132" s="19" t="str">
        <f>[2]Base!G132</f>
        <v>ICVM 400</v>
      </c>
      <c r="H132" s="20">
        <f>[2]Base!X132</f>
        <v>39289</v>
      </c>
      <c r="I132" s="21">
        <f>[2]Base!W132</f>
        <v>22.5</v>
      </c>
      <c r="J132" s="22">
        <f>[2]Base!J132</f>
        <v>39293</v>
      </c>
      <c r="K132" s="23">
        <f>[2]Base!BL132</f>
        <v>10782</v>
      </c>
      <c r="L132" s="23">
        <f>[2]Base!DZ132</f>
        <v>11320</v>
      </c>
      <c r="M132" s="24">
        <f>[2]Base!AO132</f>
        <v>268164000</v>
      </c>
      <c r="N132" s="24">
        <f>[2]Base!AP132</f>
        <v>178776000</v>
      </c>
      <c r="O132" s="25">
        <f>[2]Base!AQ132</f>
        <v>446940000</v>
      </c>
      <c r="P132" s="26">
        <f>[2]Base!EF132</f>
        <v>8.915547461871158E-2</v>
      </c>
      <c r="Q132" s="26">
        <f>[2]Base!EH132</f>
        <v>0.2640286995044564</v>
      </c>
      <c r="R132" s="26">
        <f>[2]Base!EJ132</f>
        <v>0.64297273634628516</v>
      </c>
      <c r="S132" s="27">
        <f>[2]Base!EL132</f>
        <v>3.8430895305468491E-3</v>
      </c>
    </row>
    <row r="133" spans="1:19" ht="13.2" x14ac:dyDescent="0.25">
      <c r="B133" s="18" t="str">
        <f>[2]Base!A133</f>
        <v>BANRISUL</v>
      </c>
      <c r="C133" s="19" t="str">
        <f>[2]Base!C133</f>
        <v>N1</v>
      </c>
      <c r="D133" s="19" t="str">
        <f>[2]Base!EQ133</f>
        <v>Bancos</v>
      </c>
      <c r="E133" s="19" t="str">
        <f>[2]Base!M133</f>
        <v>Credit Suisse</v>
      </c>
      <c r="F133" s="19" t="str">
        <f>[2]Base!F133</f>
        <v>FOLLOW-ON</v>
      </c>
      <c r="G133" s="19" t="str">
        <f>[2]Base!G133</f>
        <v>ICVM 400</v>
      </c>
      <c r="H133" s="20">
        <f>[2]Base!X133</f>
        <v>39287</v>
      </c>
      <c r="I133" s="21">
        <f>[2]Base!W133</f>
        <v>12</v>
      </c>
      <c r="J133" s="22">
        <f>[2]Base!J133</f>
        <v>39294</v>
      </c>
      <c r="K133" s="23">
        <f>[2]Base!BL133</f>
        <v>13220</v>
      </c>
      <c r="L133" s="23">
        <f>[2]Base!DZ133</f>
        <v>13799</v>
      </c>
      <c r="M133" s="24">
        <f>[2]Base!AO133</f>
        <v>799999992</v>
      </c>
      <c r="N133" s="24">
        <f>[2]Base!AP133</f>
        <v>1286956524</v>
      </c>
      <c r="O133" s="25">
        <f>[2]Base!AQ133</f>
        <v>2086956516</v>
      </c>
      <c r="P133" s="26">
        <f>[2]Base!EF133</f>
        <v>6.0390630603906308E-2</v>
      </c>
      <c r="Q133" s="26">
        <f>[2]Base!EH133</f>
        <v>6.9262740692627403E-2</v>
      </c>
      <c r="R133" s="26">
        <f>[2]Base!EJ133</f>
        <v>0.84492629344926296</v>
      </c>
      <c r="S133" s="27">
        <f>[2]Base!EL133</f>
        <v>2.5420335254203352E-2</v>
      </c>
    </row>
    <row r="134" spans="1:19" ht="13.2" x14ac:dyDescent="0.25">
      <c r="B134" s="18" t="str">
        <f>[2]Base!A134</f>
        <v>COSAN LTD ¹</v>
      </c>
      <c r="C134" s="19" t="str">
        <f>[2]Base!C134</f>
        <v>BDR</v>
      </c>
      <c r="D134" s="19" t="str">
        <f>[2]Base!EQ134</f>
        <v>Alimentos Diversos</v>
      </c>
      <c r="E134" s="19" t="str">
        <f>[2]Base!M134</f>
        <v>Morgan Stanley</v>
      </c>
      <c r="F134" s="19" t="str">
        <f>[2]Base!F134</f>
        <v>IPO</v>
      </c>
      <c r="G134" s="19" t="str">
        <f>[2]Base!G134</f>
        <v>ICVM 400</v>
      </c>
      <c r="H134" s="20">
        <f>[2]Base!X134</f>
        <v>39310</v>
      </c>
      <c r="I134" s="21">
        <f>[2]Base!W134</f>
        <v>21.05</v>
      </c>
      <c r="J134" s="22">
        <f>[2]Base!J134</f>
        <v>39311</v>
      </c>
      <c r="K134" s="23">
        <f>[2]Base!BL134</f>
        <v>1560</v>
      </c>
      <c r="L134" s="23">
        <f>[2]Base!DZ134</f>
        <v>1819</v>
      </c>
      <c r="M134" s="24">
        <f>[2]Base!AO134</f>
        <v>275016439.69999999</v>
      </c>
      <c r="N134" s="24">
        <f>[2]Base!AP134</f>
        <v>0</v>
      </c>
      <c r="O134" s="25">
        <f>[2]Base!AQ134</f>
        <v>275016439.69999999</v>
      </c>
      <c r="P134" s="26">
        <f>[2]Base!EF134</f>
        <v>8.5760310893819736E-3</v>
      </c>
      <c r="Q134" s="26">
        <f>[2]Base!EH134</f>
        <v>6.497336091262379E-2</v>
      </c>
      <c r="R134" s="26">
        <f>[2]Base!EJ134</f>
        <v>0.9262526728630528</v>
      </c>
      <c r="S134" s="27">
        <f>[2]Base!EL134</f>
        <v>1.9793513494152832E-4</v>
      </c>
    </row>
    <row r="135" spans="1:19" ht="13.2" x14ac:dyDescent="0.25">
      <c r="A135" s="50"/>
      <c r="B135" s="18" t="str">
        <f>[2]Base!A135</f>
        <v>SATIPEL</v>
      </c>
      <c r="C135" s="19" t="str">
        <f>[2]Base!C135</f>
        <v>NM</v>
      </c>
      <c r="D135" s="19" t="str">
        <f>[2]Base!EQ135</f>
        <v>Madeira</v>
      </c>
      <c r="E135" s="19" t="str">
        <f>[2]Base!M135</f>
        <v>UBS</v>
      </c>
      <c r="F135" s="19" t="str">
        <f>[2]Base!F135</f>
        <v>IPO</v>
      </c>
      <c r="G135" s="19" t="str">
        <f>[2]Base!G135</f>
        <v>ICVM 400</v>
      </c>
      <c r="H135" s="20">
        <f>[2]Base!X135</f>
        <v>39344</v>
      </c>
      <c r="I135" s="21">
        <f>[2]Base!W135</f>
        <v>13</v>
      </c>
      <c r="J135" s="22">
        <f>[2]Base!J135</f>
        <v>39346</v>
      </c>
      <c r="K135" s="23">
        <f>[2]Base!BL135</f>
        <v>6756</v>
      </c>
      <c r="L135" s="23">
        <f>[2]Base!DZ135</f>
        <v>7211</v>
      </c>
      <c r="M135" s="24">
        <f>[2]Base!AO135</f>
        <v>227766344</v>
      </c>
      <c r="N135" s="24">
        <f>[2]Base!AP135</f>
        <v>184774057</v>
      </c>
      <c r="O135" s="25">
        <f>[2]Base!AQ135</f>
        <v>412540401</v>
      </c>
      <c r="P135" s="26">
        <f>[2]Base!EF135</f>
        <v>8.6447897709144489E-2</v>
      </c>
      <c r="Q135" s="26">
        <f>[2]Base!EH135</f>
        <v>0.21924022389117181</v>
      </c>
      <c r="R135" s="26">
        <f>[2]Base!EJ135</f>
        <v>0.68953015553518604</v>
      </c>
      <c r="S135" s="27">
        <f>[2]Base!EL135</f>
        <v>4.7817228644976093E-3</v>
      </c>
    </row>
    <row r="136" spans="1:19" ht="13.2" x14ac:dyDescent="0.25">
      <c r="B136" s="18" t="str">
        <f>[2]Base!A136</f>
        <v>SUL AMERICA</v>
      </c>
      <c r="C136" s="19" t="str">
        <f>[2]Base!C136</f>
        <v>N2</v>
      </c>
      <c r="D136" s="19" t="str">
        <f>[2]Base!EQ136</f>
        <v>Seguradoras</v>
      </c>
      <c r="E136" s="19" t="str">
        <f>[2]Base!M136</f>
        <v>Unibanco</v>
      </c>
      <c r="F136" s="19" t="str">
        <f>[2]Base!F136</f>
        <v>IPO</v>
      </c>
      <c r="G136" s="19" t="str">
        <f>[2]Base!G136</f>
        <v>ICVM 400</v>
      </c>
      <c r="H136" s="20">
        <f>[2]Base!X136</f>
        <v>39358</v>
      </c>
      <c r="I136" s="21">
        <f>[2]Base!W136</f>
        <v>31</v>
      </c>
      <c r="J136" s="22">
        <f>[2]Base!J136</f>
        <v>39360</v>
      </c>
      <c r="K136" s="23">
        <f>[2]Base!BL136</f>
        <v>19047</v>
      </c>
      <c r="L136" s="23">
        <f>[2]Base!DZ136</f>
        <v>19979</v>
      </c>
      <c r="M136" s="24">
        <f>[2]Base!AO136</f>
        <v>775000000</v>
      </c>
      <c r="N136" s="24">
        <f>[2]Base!AP136</f>
        <v>0</v>
      </c>
      <c r="O136" s="25">
        <f>[2]Base!AQ136</f>
        <v>775000000</v>
      </c>
      <c r="P136" s="26">
        <f>[2]Base!EF136</f>
        <v>8.90986E-2</v>
      </c>
      <c r="Q136" s="26">
        <f>[2]Base!EH136</f>
        <v>2.9223200000000001E-2</v>
      </c>
      <c r="R136" s="26">
        <f>[2]Base!EJ136</f>
        <v>0.87409999999999999</v>
      </c>
      <c r="S136" s="27">
        <f>[2]Base!EL136</f>
        <v>7.5782000000000002E-3</v>
      </c>
    </row>
    <row r="137" spans="1:19" ht="13.2" x14ac:dyDescent="0.25">
      <c r="B137" s="18" t="str">
        <f>[2]Base!A137</f>
        <v>BICBANCO</v>
      </c>
      <c r="C137" s="19" t="str">
        <f>[2]Base!C137</f>
        <v>N1</v>
      </c>
      <c r="D137" s="19" t="str">
        <f>[2]Base!EQ137</f>
        <v>Bancos</v>
      </c>
      <c r="E137" s="19" t="str">
        <f>[2]Base!M137</f>
        <v>UBS</v>
      </c>
      <c r="F137" s="19" t="str">
        <f>[2]Base!F137</f>
        <v>IPO</v>
      </c>
      <c r="G137" s="19" t="str">
        <f>[2]Base!G137</f>
        <v>ICVM 400</v>
      </c>
      <c r="H137" s="20">
        <f>[2]Base!X137</f>
        <v>39365</v>
      </c>
      <c r="I137" s="21">
        <f>[2]Base!W137</f>
        <v>11.5</v>
      </c>
      <c r="J137" s="22">
        <f>[2]Base!J137</f>
        <v>39370</v>
      </c>
      <c r="K137" s="23">
        <f>[2]Base!BL137</f>
        <v>5158</v>
      </c>
      <c r="L137" s="23">
        <f>[2]Base!DZ137</f>
        <v>6257</v>
      </c>
      <c r="M137" s="24">
        <f>[2]Base!AO137</f>
        <v>492915645</v>
      </c>
      <c r="N137" s="24">
        <f>[2]Base!AP137</f>
        <v>328610430</v>
      </c>
      <c r="O137" s="25">
        <f>[2]Base!AQ137</f>
        <v>821526075</v>
      </c>
      <c r="P137" s="26">
        <f>[2]Base!EF137</f>
        <v>4.918085223283996E-2</v>
      </c>
      <c r="Q137" s="26">
        <f>[2]Base!EH137</f>
        <v>8.6446248830263847E-2</v>
      </c>
      <c r="R137" s="26">
        <f>[2]Base!EJ137</f>
        <v>0.84910050177043983</v>
      </c>
      <c r="S137" s="27">
        <f>[2]Base!EL137</f>
        <v>1.5272397166456342E-2</v>
      </c>
    </row>
    <row r="138" spans="1:19" ht="13.2" x14ac:dyDescent="0.25">
      <c r="B138" s="18" t="str">
        <f>[2]Base!A138</f>
        <v>TRISUL</v>
      </c>
      <c r="C138" s="19" t="str">
        <f>[2]Base!C138</f>
        <v>NM</v>
      </c>
      <c r="D138" s="19" t="str">
        <f>[2]Base!EQ138</f>
        <v>Construção Civil</v>
      </c>
      <c r="E138" s="19" t="str">
        <f>[2]Base!M138</f>
        <v>Morgan Stanley</v>
      </c>
      <c r="F138" s="19" t="str">
        <f>[2]Base!F138</f>
        <v>IPO</v>
      </c>
      <c r="G138" s="19" t="str">
        <f>[2]Base!G138</f>
        <v>ICVM 400</v>
      </c>
      <c r="H138" s="20">
        <f>[2]Base!X138</f>
        <v>39366</v>
      </c>
      <c r="I138" s="21">
        <f>[2]Base!W138</f>
        <v>11</v>
      </c>
      <c r="J138" s="22">
        <f>[2]Base!J138</f>
        <v>39370</v>
      </c>
      <c r="K138" s="23">
        <f>[2]Base!BL138</f>
        <v>2427</v>
      </c>
      <c r="L138" s="23">
        <f>[2]Base!DZ138</f>
        <v>2713</v>
      </c>
      <c r="M138" s="24">
        <f>[2]Base!AO138</f>
        <v>330281050</v>
      </c>
      <c r="N138" s="24">
        <f>[2]Base!AP138</f>
        <v>0</v>
      </c>
      <c r="O138" s="25">
        <f>[2]Base!AQ138</f>
        <v>330281050</v>
      </c>
      <c r="P138" s="26">
        <f>[2]Base!EF138</f>
        <v>5.2722532644321272E-2</v>
      </c>
      <c r="Q138" s="26">
        <f>[2]Base!EH138</f>
        <v>3.5100614260749563E-2</v>
      </c>
      <c r="R138" s="26">
        <f>[2]Base!EJ138</f>
        <v>0.90793702889800576</v>
      </c>
      <c r="S138" s="27">
        <f>[2]Base!EL138</f>
        <v>4.239824196923446E-3</v>
      </c>
    </row>
    <row r="139" spans="1:19" ht="13.2" x14ac:dyDescent="0.25">
      <c r="B139" s="18" t="str">
        <f>[2]Base!A139</f>
        <v>TENDA</v>
      </c>
      <c r="C139" s="19" t="str">
        <f>[2]Base!C139</f>
        <v>NM</v>
      </c>
      <c r="D139" s="19" t="str">
        <f>[2]Base!EQ139</f>
        <v>Construção Civil</v>
      </c>
      <c r="E139" s="19" t="str">
        <f>[2]Base!M139</f>
        <v>Itaú BBA</v>
      </c>
      <c r="F139" s="19" t="str">
        <f>[2]Base!F139</f>
        <v>IPO</v>
      </c>
      <c r="G139" s="19" t="str">
        <f>[2]Base!G139</f>
        <v>ICVM 400</v>
      </c>
      <c r="H139" s="20">
        <f>[2]Base!X139</f>
        <v>39365</v>
      </c>
      <c r="I139" s="21">
        <f>[2]Base!W139</f>
        <v>9</v>
      </c>
      <c r="J139" s="22">
        <f>[2]Base!J139</f>
        <v>39370</v>
      </c>
      <c r="K139" s="23">
        <f>[2]Base!BL139</f>
        <v>10040</v>
      </c>
      <c r="L139" s="23">
        <f>[2]Base!DZ139</f>
        <v>10636</v>
      </c>
      <c r="M139" s="24">
        <f>[2]Base!AO139</f>
        <v>603000000</v>
      </c>
      <c r="N139" s="24">
        <f>[2]Base!AP139</f>
        <v>0</v>
      </c>
      <c r="O139" s="25">
        <f>[2]Base!AQ139</f>
        <v>603000000</v>
      </c>
      <c r="P139" s="26">
        <f>[2]Base!EF139</f>
        <v>9.7599935107073335E-2</v>
      </c>
      <c r="Q139" s="26">
        <f>[2]Base!EH139</f>
        <v>0.21687780661907852</v>
      </c>
      <c r="R139" s="26">
        <f>[2]Base!EJ139</f>
        <v>0.68289958468526935</v>
      </c>
      <c r="S139" s="27">
        <f>[2]Base!EL139</f>
        <v>2.6226735885788448E-3</v>
      </c>
    </row>
    <row r="140" spans="1:19" ht="13.2" x14ac:dyDescent="0.25">
      <c r="B140" s="18" t="str">
        <f>[2]Base!A140</f>
        <v>SEB</v>
      </c>
      <c r="C140" s="19" t="str">
        <f>[2]Base!C140</f>
        <v>N2</v>
      </c>
      <c r="D140" s="19" t="str">
        <f>[2]Base!EQ140</f>
        <v>Serviços Educacionais</v>
      </c>
      <c r="E140" s="19" t="str">
        <f>[2]Base!M140</f>
        <v>Credit Suisse</v>
      </c>
      <c r="F140" s="19" t="str">
        <f>[2]Base!F140</f>
        <v>IPO</v>
      </c>
      <c r="G140" s="19" t="str">
        <f>[2]Base!G140</f>
        <v>ICVM 400</v>
      </c>
      <c r="H140" s="20">
        <f>[2]Base!X140</f>
        <v>39371</v>
      </c>
      <c r="I140" s="21">
        <f>[2]Base!W140</f>
        <v>33</v>
      </c>
      <c r="J140" s="22">
        <f>[2]Base!J140</f>
        <v>39373</v>
      </c>
      <c r="K140" s="23">
        <f>[2]Base!BL140</f>
        <v>3681</v>
      </c>
      <c r="L140" s="23">
        <f>[2]Base!DZ140</f>
        <v>3875</v>
      </c>
      <c r="M140" s="24">
        <f>[2]Base!AO140</f>
        <v>288750000</v>
      </c>
      <c r="N140" s="24">
        <f>[2]Base!AP140</f>
        <v>123750000</v>
      </c>
      <c r="O140" s="25">
        <f>[2]Base!AQ140</f>
        <v>412500000</v>
      </c>
      <c r="P140" s="26">
        <f>[2]Base!EF140</f>
        <v>6.445892173913044E-2</v>
      </c>
      <c r="Q140" s="26">
        <f>[2]Base!EH140</f>
        <v>0.13756173913043479</v>
      </c>
      <c r="R140" s="26">
        <f>[2]Base!EJ140</f>
        <v>0.79674782608695649</v>
      </c>
      <c r="S140" s="27">
        <f>[2]Base!EL140</f>
        <v>1.231513043478261E-3</v>
      </c>
    </row>
    <row r="141" spans="1:19" ht="13.2" x14ac:dyDescent="0.25">
      <c r="B141" s="18" t="str">
        <f>[2]Base!A141</f>
        <v>BR MALLS PAR</v>
      </c>
      <c r="C141" s="19" t="str">
        <f>[2]Base!C141</f>
        <v>NM</v>
      </c>
      <c r="D141" s="19" t="str">
        <f>[2]Base!EQ141</f>
        <v>Exploração de Imóveis</v>
      </c>
      <c r="E141" s="19" t="str">
        <f>[2]Base!M141</f>
        <v>Itaú BBA</v>
      </c>
      <c r="F141" s="19" t="str">
        <f>[2]Base!F141</f>
        <v>FOLLOW-ON</v>
      </c>
      <c r="G141" s="19" t="str">
        <f>[2]Base!G141</f>
        <v>ICVM 400</v>
      </c>
      <c r="H141" s="20">
        <f>[2]Base!X141</f>
        <v>39372</v>
      </c>
      <c r="I141" s="21">
        <f>[2]Base!W141</f>
        <v>25</v>
      </c>
      <c r="J141" s="22">
        <f>[2]Base!J141</f>
        <v>39374</v>
      </c>
      <c r="K141" s="23">
        <f>[2]Base!BL141</f>
        <v>2294</v>
      </c>
      <c r="L141" s="23">
        <f>[2]Base!DZ141</f>
        <v>2643</v>
      </c>
      <c r="M141" s="24">
        <f>[2]Base!AO141</f>
        <v>664450000</v>
      </c>
      <c r="N141" s="24">
        <f>[2]Base!AP141</f>
        <v>0</v>
      </c>
      <c r="O141" s="25">
        <f>[2]Base!AQ141</f>
        <v>664450000</v>
      </c>
      <c r="P141" s="26">
        <f>[2]Base!EF141</f>
        <v>3.0928407407407408E-2</v>
      </c>
      <c r="Q141" s="26">
        <f>[2]Base!EH141</f>
        <v>7.591188888888889E-2</v>
      </c>
      <c r="R141" s="26">
        <f>[2]Base!EJ141</f>
        <v>0.6919494074074074</v>
      </c>
      <c r="S141" s="27">
        <f>[2]Base!EL141</f>
        <v>0.2012102962962963</v>
      </c>
    </row>
    <row r="142" spans="1:19" ht="13.2" x14ac:dyDescent="0.25">
      <c r="B142" s="18" t="str">
        <f>[2]Base!A142</f>
        <v>MARISA</v>
      </c>
      <c r="C142" s="19" t="str">
        <f>[2]Base!C142</f>
        <v>NM</v>
      </c>
      <c r="D142" s="19" t="str">
        <f>[2]Base!EQ142</f>
        <v>Tecidos, Vestuário e Calçados</v>
      </c>
      <c r="E142" s="19" t="str">
        <f>[2]Base!M142</f>
        <v>Credit Suisse</v>
      </c>
      <c r="F142" s="19" t="str">
        <f>[2]Base!F142</f>
        <v>IPO</v>
      </c>
      <c r="G142" s="19" t="str">
        <f>[2]Base!G142</f>
        <v>ICVM 400</v>
      </c>
      <c r="H142" s="20">
        <f>[2]Base!X142</f>
        <v>39373</v>
      </c>
      <c r="I142" s="21">
        <f>[2]Base!W142</f>
        <v>10</v>
      </c>
      <c r="J142" s="22">
        <f>[2]Base!J142</f>
        <v>39377</v>
      </c>
      <c r="K142" s="23">
        <f>[2]Base!BL142</f>
        <v>13012</v>
      </c>
      <c r="L142" s="23">
        <f>[2]Base!DZ142</f>
        <v>13733</v>
      </c>
      <c r="M142" s="24">
        <f>[2]Base!AO142</f>
        <v>506000000</v>
      </c>
      <c r="N142" s="24">
        <f>[2]Base!AP142</f>
        <v>0</v>
      </c>
      <c r="O142" s="25">
        <f>[2]Base!AQ142</f>
        <v>506000000</v>
      </c>
      <c r="P142" s="26">
        <f>[2]Base!EF142</f>
        <v>8.9357351778656127E-2</v>
      </c>
      <c r="Q142" s="26">
        <f>[2]Base!EH142</f>
        <v>0.26814037549407116</v>
      </c>
      <c r="R142" s="26">
        <f>[2]Base!EJ142</f>
        <v>0.63801079051383403</v>
      </c>
      <c r="S142" s="27">
        <f>[2]Base!EL142</f>
        <v>4.4914822134387352E-3</v>
      </c>
    </row>
    <row r="143" spans="1:19" ht="13.2" x14ac:dyDescent="0.25">
      <c r="B143" s="18" t="str">
        <f>[2]Base!A143</f>
        <v>PDG REALT</v>
      </c>
      <c r="C143" s="19" t="str">
        <f>[2]Base!C143</f>
        <v>NM</v>
      </c>
      <c r="D143" s="19" t="str">
        <f>[2]Base!EQ143</f>
        <v>Construção Civil</v>
      </c>
      <c r="E143" s="19" t="str">
        <f>[2]Base!M143</f>
        <v>UBS</v>
      </c>
      <c r="F143" s="19" t="str">
        <f>[2]Base!F143</f>
        <v>FOLLOW-ON</v>
      </c>
      <c r="G143" s="19" t="str">
        <f>[2]Base!G143</f>
        <v>ICVM 400</v>
      </c>
      <c r="H143" s="20">
        <f>[2]Base!X143</f>
        <v>39377</v>
      </c>
      <c r="I143" s="21">
        <f>[2]Base!W143</f>
        <v>25</v>
      </c>
      <c r="J143" s="22">
        <f>[2]Base!J143</f>
        <v>39378</v>
      </c>
      <c r="K143" s="23">
        <f>[2]Base!BL143</f>
        <v>931</v>
      </c>
      <c r="L143" s="23">
        <f>[2]Base!DZ143</f>
        <v>1062</v>
      </c>
      <c r="M143" s="24">
        <f>[2]Base!AO143</f>
        <v>575000000</v>
      </c>
      <c r="N143" s="24">
        <f>[2]Base!AP143</f>
        <v>0</v>
      </c>
      <c r="O143" s="25">
        <f>[2]Base!AQ143</f>
        <v>575000000</v>
      </c>
      <c r="P143" s="26">
        <f>[2]Base!EF143</f>
        <v>6.0863130434782607E-2</v>
      </c>
      <c r="Q143" s="26">
        <f>[2]Base!EH143</f>
        <v>0.24528152173913043</v>
      </c>
      <c r="R143" s="26">
        <f>[2]Base!EJ143</f>
        <v>0.60593360869565216</v>
      </c>
      <c r="S143" s="27">
        <f>[2]Base!EL143</f>
        <v>8.7921739130434787E-2</v>
      </c>
    </row>
    <row r="144" spans="1:19" ht="13.2" x14ac:dyDescent="0.25">
      <c r="B144" s="18" t="str">
        <f>[2]Base!A144</f>
        <v>AGRENCO</v>
      </c>
      <c r="C144" s="19" t="str">
        <f>[2]Base!C144</f>
        <v>BDR</v>
      </c>
      <c r="D144" s="19" t="str">
        <f>[2]Base!EQ144</f>
        <v>Alimentos</v>
      </c>
      <c r="E144" s="19" t="str">
        <f>[2]Base!M144</f>
        <v>Credit Suisse</v>
      </c>
      <c r="F144" s="19" t="str">
        <f>[2]Base!F144</f>
        <v>IPO</v>
      </c>
      <c r="G144" s="19" t="str">
        <f>[2]Base!G144</f>
        <v>ICVM 400</v>
      </c>
      <c r="H144" s="20">
        <f>[2]Base!X144</f>
        <v>39378</v>
      </c>
      <c r="I144" s="21">
        <f>[2]Base!W144</f>
        <v>10.4</v>
      </c>
      <c r="J144" s="22">
        <f>[2]Base!J144</f>
        <v>39380</v>
      </c>
      <c r="K144" s="23">
        <f>[2]Base!BL144</f>
        <v>799</v>
      </c>
      <c r="L144" s="23">
        <f>[2]Base!DZ144</f>
        <v>908</v>
      </c>
      <c r="M144" s="24">
        <f>[2]Base!AO144</f>
        <v>666187454.39999998</v>
      </c>
      <c r="N144" s="24">
        <f>[2]Base!AP144</f>
        <v>0</v>
      </c>
      <c r="O144" s="25">
        <f>[2]Base!AQ144</f>
        <v>666187454.39999998</v>
      </c>
      <c r="P144" s="26">
        <f>[2]Base!EF144</f>
        <v>9.2767354635136332E-3</v>
      </c>
      <c r="Q144" s="26">
        <f>[2]Base!EH144</f>
        <v>2.572742621386653E-2</v>
      </c>
      <c r="R144" s="26">
        <f>[2]Base!EJ144</f>
        <v>0.87839274994554739</v>
      </c>
      <c r="S144" s="27">
        <f>[2]Base!EL144</f>
        <v>8.6603088377072535E-2</v>
      </c>
    </row>
    <row r="145" spans="2:20" ht="13.2" x14ac:dyDescent="0.25">
      <c r="B145" s="18" t="str">
        <f>[2]Base!A145</f>
        <v>BOVESPA HLD</v>
      </c>
      <c r="C145" s="19" t="str">
        <f>[2]Base!C145</f>
        <v>NM</v>
      </c>
      <c r="D145" s="19" t="str">
        <f>[2]Base!EQ145</f>
        <v>Serviços Financeiros Diversos</v>
      </c>
      <c r="E145" s="19" t="str">
        <f>[2]Base!M145</f>
        <v>Credit Suisse</v>
      </c>
      <c r="F145" s="19" t="str">
        <f>[2]Base!F145</f>
        <v>IPO</v>
      </c>
      <c r="G145" s="19" t="str">
        <f>[2]Base!G145</f>
        <v>ICVM 400</v>
      </c>
      <c r="H145" s="20">
        <f>[2]Base!X145</f>
        <v>39379</v>
      </c>
      <c r="I145" s="21">
        <f>[2]Base!W145</f>
        <v>23</v>
      </c>
      <c r="J145" s="22">
        <f>[2]Base!J145</f>
        <v>39381</v>
      </c>
      <c r="K145" s="23">
        <f>[2]Base!BL145</f>
        <v>63929</v>
      </c>
      <c r="L145" s="23">
        <f>[2]Base!DZ145</f>
        <v>67914</v>
      </c>
      <c r="M145" s="24">
        <f>[2]Base!AO145</f>
        <v>0</v>
      </c>
      <c r="N145" s="24">
        <f>[2]Base!AP145</f>
        <v>6625520875</v>
      </c>
      <c r="O145" s="25">
        <f>[2]Base!AQ145</f>
        <v>6625520875</v>
      </c>
      <c r="P145" s="26">
        <f>[2]Base!EF145</f>
        <v>8.9246342311162061E-2</v>
      </c>
      <c r="Q145" s="26">
        <f>[2]Base!EH145</f>
        <v>0.12731819126598104</v>
      </c>
      <c r="R145" s="26">
        <f>[2]Base!EJ145</f>
        <v>0.78023958214455102</v>
      </c>
      <c r="S145" s="27">
        <f>[2]Base!EL145</f>
        <v>3.1958842783058926E-3</v>
      </c>
      <c r="T145" s="1"/>
    </row>
    <row r="146" spans="2:20" ht="13.2" x14ac:dyDescent="0.25">
      <c r="B146" s="18" t="str">
        <f>[2]Base!A146</f>
        <v>BR BROKERS</v>
      </c>
      <c r="C146" s="19" t="str">
        <f>[2]Base!C146</f>
        <v>NM</v>
      </c>
      <c r="D146" s="19" t="str">
        <f>[2]Base!EQ146</f>
        <v>Intermediação Imobiliária</v>
      </c>
      <c r="E146" s="19" t="str">
        <f>[2]Base!M146</f>
        <v>Credit Suisse</v>
      </c>
      <c r="F146" s="19" t="str">
        <f>[2]Base!F146</f>
        <v>IPO</v>
      </c>
      <c r="G146" s="19" t="str">
        <f>[2]Base!G146</f>
        <v>ICVM 400</v>
      </c>
      <c r="H146" s="20">
        <f>[2]Base!X146</f>
        <v>39380</v>
      </c>
      <c r="I146" s="21">
        <f>[2]Base!W146</f>
        <v>950</v>
      </c>
      <c r="J146" s="22">
        <f>[2]Base!J146</f>
        <v>39384</v>
      </c>
      <c r="K146" s="23">
        <f>[2]Base!BL146</f>
        <v>13</v>
      </c>
      <c r="L146" s="23">
        <f>[2]Base!DZ146</f>
        <v>130</v>
      </c>
      <c r="M146" s="24">
        <f>[2]Base!AO146</f>
        <v>304017100</v>
      </c>
      <c r="N146" s="24">
        <f>[2]Base!AP146</f>
        <v>395087900</v>
      </c>
      <c r="O146" s="25">
        <f>[2]Base!AQ146</f>
        <v>699105000</v>
      </c>
      <c r="P146" s="26">
        <f>[2]Base!EF146</f>
        <v>5.2996331023236849E-3</v>
      </c>
      <c r="Q146" s="26">
        <f>[2]Base!EH146</f>
        <v>1.4841690447071614E-2</v>
      </c>
      <c r="R146" s="26">
        <f>[2]Base!EJ146</f>
        <v>0.97985867645060465</v>
      </c>
      <c r="S146" s="27">
        <f>[2]Base!EL146</f>
        <v>0</v>
      </c>
      <c r="T146" s="1"/>
    </row>
    <row r="147" spans="2:20" ht="13.2" x14ac:dyDescent="0.25">
      <c r="B147" s="18" t="str">
        <f>[2]Base!A147</f>
        <v>AMIL</v>
      </c>
      <c r="C147" s="19" t="str">
        <f>[2]Base!C147</f>
        <v>NM</v>
      </c>
      <c r="D147" s="19" t="str">
        <f>[2]Base!EQ147</f>
        <v>Serv. Méd. Hospit., Análises e Diagnósticos</v>
      </c>
      <c r="E147" s="19" t="str">
        <f>[2]Base!M147</f>
        <v>Credit Suisse</v>
      </c>
      <c r="F147" s="19" t="str">
        <f>[2]Base!F147</f>
        <v>IPO</v>
      </c>
      <c r="G147" s="19" t="str">
        <f>[2]Base!G147</f>
        <v>ICVM 400</v>
      </c>
      <c r="H147" s="20">
        <f>[2]Base!X147</f>
        <v>39380</v>
      </c>
      <c r="I147" s="21">
        <f>[2]Base!W147</f>
        <v>14</v>
      </c>
      <c r="J147" s="22">
        <f>[2]Base!J147</f>
        <v>39384</v>
      </c>
      <c r="K147" s="23">
        <f>[2]Base!BL147</f>
        <v>4340</v>
      </c>
      <c r="L147" s="23">
        <f>[2]Base!DZ147</f>
        <v>4675</v>
      </c>
      <c r="M147" s="24">
        <f>[2]Base!AO147</f>
        <v>994700000</v>
      </c>
      <c r="N147" s="24">
        <f>[2]Base!AP147</f>
        <v>406000000</v>
      </c>
      <c r="O147" s="25">
        <f>[2]Base!AQ147</f>
        <v>1400700000</v>
      </c>
      <c r="P147" s="26">
        <f>[2]Base!EF147</f>
        <v>3.8417471264367814E-2</v>
      </c>
      <c r="Q147" s="26">
        <f>[2]Base!EH147</f>
        <v>0.15639552223888056</v>
      </c>
      <c r="R147" s="26">
        <f>[2]Base!EJ147</f>
        <v>0.80452467766116942</v>
      </c>
      <c r="S147" s="27">
        <f>[2]Base!EL147</f>
        <v>6.623288355822089E-4</v>
      </c>
      <c r="T147" s="1"/>
    </row>
    <row r="148" spans="2:20" ht="13.2" x14ac:dyDescent="0.25">
      <c r="B148" s="18" t="str">
        <f>[2]Base!A148</f>
        <v>HELBOR</v>
      </c>
      <c r="C148" s="19" t="str">
        <f>[2]Base!C148</f>
        <v>NM</v>
      </c>
      <c r="D148" s="19" t="str">
        <f>[2]Base!EQ148</f>
        <v>Construção Civil</v>
      </c>
      <c r="E148" s="19" t="str">
        <f>[2]Base!M148</f>
        <v>Bradesco BBI</v>
      </c>
      <c r="F148" s="19" t="str">
        <f>[2]Base!F148</f>
        <v>IPO</v>
      </c>
      <c r="G148" s="19" t="str">
        <f>[2]Base!G148</f>
        <v>ICVM 400</v>
      </c>
      <c r="H148" s="20">
        <f>[2]Base!X148</f>
        <v>39379</v>
      </c>
      <c r="I148" s="21">
        <f>[2]Base!W148</f>
        <v>11</v>
      </c>
      <c r="J148" s="22">
        <f>[2]Base!J148</f>
        <v>39384</v>
      </c>
      <c r="K148" s="23">
        <f>[2]Base!BL148</f>
        <v>709</v>
      </c>
      <c r="L148" s="23">
        <f>[2]Base!DZ148</f>
        <v>845</v>
      </c>
      <c r="M148" s="24">
        <f>[2]Base!AO148</f>
        <v>251832053</v>
      </c>
      <c r="N148" s="24">
        <f>[2]Base!AP148</f>
        <v>0</v>
      </c>
      <c r="O148" s="25">
        <f>[2]Base!AQ148</f>
        <v>251832053</v>
      </c>
      <c r="P148" s="26">
        <f>[2]Base!EF148</f>
        <v>6.4511614699428538E-2</v>
      </c>
      <c r="Q148" s="26">
        <f>[2]Base!EH148</f>
        <v>0.34599387067754239</v>
      </c>
      <c r="R148" s="26">
        <f>[2]Base!EJ148</f>
        <v>0.55525000428967808</v>
      </c>
      <c r="S148" s="27">
        <f>[2]Base!EL148</f>
        <v>3.4244510333350985E-2</v>
      </c>
      <c r="T148" s="1"/>
    </row>
    <row r="149" spans="2:20" ht="13.2" x14ac:dyDescent="0.25">
      <c r="B149" s="18" t="str">
        <f>[2]Base!A149</f>
        <v>LAEP</v>
      </c>
      <c r="C149" s="19" t="str">
        <f>[2]Base!C149</f>
        <v>BDR</v>
      </c>
      <c r="D149" s="19" t="str">
        <f>[2]Base!EQ149</f>
        <v>Laticínios</v>
      </c>
      <c r="E149" s="19" t="str">
        <f>[2]Base!M149</f>
        <v>UBS</v>
      </c>
      <c r="F149" s="19" t="str">
        <f>[2]Base!F149</f>
        <v>IPO</v>
      </c>
      <c r="G149" s="19" t="str">
        <f>[2]Base!G149</f>
        <v>ICVM 400</v>
      </c>
      <c r="H149" s="20">
        <f>[2]Base!X149</f>
        <v>39381</v>
      </c>
      <c r="I149" s="21">
        <f>[2]Base!W149</f>
        <v>7.5</v>
      </c>
      <c r="J149" s="22">
        <f>[2]Base!J149</f>
        <v>39386</v>
      </c>
      <c r="K149" s="23">
        <f>[2]Base!BL149</f>
        <v>556</v>
      </c>
      <c r="L149" s="23">
        <f>[2]Base!DZ149</f>
        <v>706</v>
      </c>
      <c r="M149" s="24">
        <f>[2]Base!AO149</f>
        <v>507611107.5</v>
      </c>
      <c r="N149" s="24">
        <f>[2]Base!AP149</f>
        <v>0</v>
      </c>
      <c r="O149" s="25">
        <f>[2]Base!AQ149</f>
        <v>507611107.5</v>
      </c>
      <c r="P149" s="26">
        <f>[2]Base!EF149</f>
        <v>8.3484727528347086E-3</v>
      </c>
      <c r="Q149" s="26">
        <f>[2]Base!EH149</f>
        <v>0.26550742883418876</v>
      </c>
      <c r="R149" s="26">
        <f>[2]Base!EJ149</f>
        <v>0.72549238395064075</v>
      </c>
      <c r="S149" s="27">
        <f>[2]Base!EL149</f>
        <v>6.5171446233571633E-4</v>
      </c>
      <c r="T149" s="1"/>
    </row>
    <row r="150" spans="2:20" ht="13.2" x14ac:dyDescent="0.25">
      <c r="B150" s="18" t="str">
        <f>[2]Base!A150</f>
        <v>PANAMERICANO</v>
      </c>
      <c r="C150" s="19" t="str">
        <f>[2]Base!C150</f>
        <v>N1</v>
      </c>
      <c r="D150" s="19" t="str">
        <f>[2]Base!EQ150</f>
        <v>Bancos</v>
      </c>
      <c r="E150" s="19" t="str">
        <f>[2]Base!M150</f>
        <v>UBS</v>
      </c>
      <c r="F150" s="19" t="str">
        <f>[2]Base!F150</f>
        <v>IPO</v>
      </c>
      <c r="G150" s="19" t="str">
        <f>[2]Base!G150</f>
        <v>ICVM 400</v>
      </c>
      <c r="H150" s="20">
        <f>[2]Base!X150</f>
        <v>39399</v>
      </c>
      <c r="I150" s="21">
        <f>[2]Base!W150</f>
        <v>10</v>
      </c>
      <c r="J150" s="22">
        <f>[2]Base!J150</f>
        <v>39405</v>
      </c>
      <c r="K150" s="23">
        <f>[2]Base!BL150</f>
        <v>21044</v>
      </c>
      <c r="L150" s="23">
        <f>[2]Base!DZ150</f>
        <v>21792</v>
      </c>
      <c r="M150" s="24">
        <f>[2]Base!AO150</f>
        <v>700426000</v>
      </c>
      <c r="N150" s="24">
        <f>[2]Base!AP150</f>
        <v>0</v>
      </c>
      <c r="O150" s="25">
        <f>[2]Base!AQ150</f>
        <v>700426000</v>
      </c>
      <c r="P150" s="26">
        <f>[2]Base!EF150</f>
        <v>0.10352751008977844</v>
      </c>
      <c r="Q150" s="26">
        <f>[2]Base!EH150</f>
        <v>0.22404301540235566</v>
      </c>
      <c r="R150" s="26">
        <f>[2]Base!EJ150</f>
        <v>0.6705939584877687</v>
      </c>
      <c r="S150" s="27">
        <f>[2]Base!EL150</f>
        <v>1.8355160200971914E-3</v>
      </c>
      <c r="T150" s="1"/>
    </row>
    <row r="151" spans="2:20" ht="13.2" x14ac:dyDescent="0.25">
      <c r="B151" s="18" t="str">
        <f>[2]Base!A151</f>
        <v>BMF</v>
      </c>
      <c r="C151" s="19" t="str">
        <f>[2]Base!C151</f>
        <v>NM</v>
      </c>
      <c r="D151" s="19" t="str">
        <f>[2]Base!EQ151</f>
        <v>Serviços Financeiros Diversos</v>
      </c>
      <c r="E151" s="19" t="str">
        <f>[2]Base!M151</f>
        <v>Bradesco BBI</v>
      </c>
      <c r="F151" s="19" t="str">
        <f>[2]Base!F151</f>
        <v>IPO</v>
      </c>
      <c r="G151" s="19" t="str">
        <f>[2]Base!G151</f>
        <v>ICVM 400</v>
      </c>
      <c r="H151" s="20">
        <f>[2]Base!X151</f>
        <v>39414</v>
      </c>
      <c r="I151" s="21">
        <f>[2]Base!W151</f>
        <v>20</v>
      </c>
      <c r="J151" s="22">
        <f>[2]Base!J151</f>
        <v>39416</v>
      </c>
      <c r="K151" s="23">
        <f>[2]Base!BL151</f>
        <v>253707</v>
      </c>
      <c r="L151" s="23">
        <f>[2]Base!DZ151</f>
        <v>260946</v>
      </c>
      <c r="M151" s="24">
        <f>[2]Base!AO151</f>
        <v>0</v>
      </c>
      <c r="N151" s="24">
        <f>[2]Base!AP151</f>
        <v>5983696920</v>
      </c>
      <c r="O151" s="25">
        <f>[2]Base!AQ151</f>
        <v>5983696920</v>
      </c>
      <c r="P151" s="26">
        <f>[2]Base!EF151</f>
        <v>9.9923018828299875E-2</v>
      </c>
      <c r="Q151" s="26">
        <f>[2]Base!EH151</f>
        <v>0.1218459607409394</v>
      </c>
      <c r="R151" s="26">
        <f>[2]Base!EJ151</f>
        <v>0.77356249186497905</v>
      </c>
      <c r="S151" s="27">
        <f>[2]Base!EL151</f>
        <v>4.6685285657817044E-3</v>
      </c>
      <c r="T151" s="1"/>
    </row>
    <row r="152" spans="2:20" ht="13.2" x14ac:dyDescent="0.25">
      <c r="B152" s="18" t="str">
        <f>[2]Base!A152</f>
        <v>MPX ENERGIA</v>
      </c>
      <c r="C152" s="19" t="str">
        <f>[2]Base!C152</f>
        <v>NM</v>
      </c>
      <c r="D152" s="19" t="str">
        <f>[2]Base!EQ152</f>
        <v>Energia Elétrica</v>
      </c>
      <c r="E152" s="19" t="str">
        <f>[2]Base!M152</f>
        <v>UBS</v>
      </c>
      <c r="F152" s="19" t="str">
        <f>[2]Base!F152</f>
        <v>IPO</v>
      </c>
      <c r="G152" s="19" t="str">
        <f>[2]Base!G152</f>
        <v>ICVM 400</v>
      </c>
      <c r="H152" s="20">
        <f>[2]Base!X152</f>
        <v>39428</v>
      </c>
      <c r="I152" s="21">
        <f>[2]Base!W152</f>
        <v>1006.63</v>
      </c>
      <c r="J152" s="22">
        <f>[2]Base!J152</f>
        <v>39430</v>
      </c>
      <c r="K152" s="23">
        <f>[2]Base!BL152</f>
        <v>148</v>
      </c>
      <c r="L152" s="23">
        <f>[2]Base!DZ152</f>
        <v>325</v>
      </c>
      <c r="M152" s="24">
        <f>[2]Base!AO152</f>
        <v>2035409886.52</v>
      </c>
      <c r="N152" s="24">
        <f>[2]Base!AP152</f>
        <v>0</v>
      </c>
      <c r="O152" s="25">
        <f>[2]Base!AQ152</f>
        <v>2035409886.52</v>
      </c>
      <c r="P152" s="26">
        <f>[2]Base!EF152</f>
        <v>2.1324128581503527E-2</v>
      </c>
      <c r="Q152" s="26">
        <f>[2]Base!EH152</f>
        <v>8.8957495167413941E-2</v>
      </c>
      <c r="R152" s="26">
        <f>[2]Base!EJ152</f>
        <v>0.71427266382375398</v>
      </c>
      <c r="S152" s="27">
        <f>[2]Base!EL152</f>
        <v>0.17544571242732848</v>
      </c>
      <c r="T152" s="1"/>
    </row>
    <row r="153" spans="2:20" ht="13.2" x14ac:dyDescent="0.25">
      <c r="B153" s="18" t="str">
        <f>[2]Base!A153</f>
        <v>PERDIGAO S/A</v>
      </c>
      <c r="C153" s="19" t="str">
        <f>[2]Base!C153</f>
        <v>NM</v>
      </c>
      <c r="D153" s="19" t="str">
        <f>[2]Base!EQ153</f>
        <v>Carnes e Derivados</v>
      </c>
      <c r="E153" s="19" t="str">
        <f>[2]Base!M153</f>
        <v>Credit Suisse</v>
      </c>
      <c r="F153" s="19" t="str">
        <f>[2]Base!F153</f>
        <v>FOLLOW-ON</v>
      </c>
      <c r="G153" s="19" t="str">
        <f>[2]Base!G153</f>
        <v>ICVM 400</v>
      </c>
      <c r="H153" s="20">
        <f>[2]Base!X153</f>
        <v>39428</v>
      </c>
      <c r="I153" s="21">
        <f>[2]Base!W153</f>
        <v>45</v>
      </c>
      <c r="J153" s="22">
        <f>[2]Base!J153</f>
        <v>39430</v>
      </c>
      <c r="K153" s="23">
        <f>[2]Base!BL153</f>
        <v>13888</v>
      </c>
      <c r="L153" s="23">
        <f>[2]Base!DZ153</f>
        <v>14688</v>
      </c>
      <c r="M153" s="24">
        <f>[2]Base!AO153</f>
        <v>933489000</v>
      </c>
      <c r="N153" s="24">
        <f>[2]Base!AP153</f>
        <v>0</v>
      </c>
      <c r="O153" s="25">
        <f>[2]Base!AQ153</f>
        <v>933489000</v>
      </c>
      <c r="P153" s="26">
        <f>[2]Base!EF153</f>
        <v>9.8723608695652179E-2</v>
      </c>
      <c r="Q153" s="26">
        <f>[2]Base!EH153</f>
        <v>0.5772429130434783</v>
      </c>
      <c r="R153" s="26">
        <f>[2]Base!EJ153</f>
        <v>0.26474652173913044</v>
      </c>
      <c r="S153" s="27">
        <f>[2]Base!EL153</f>
        <v>5.9286956521739133E-2</v>
      </c>
      <c r="T153" s="1"/>
    </row>
    <row r="154" spans="2:20" ht="13.2" x14ac:dyDescent="0.25">
      <c r="B154" s="18" t="str">
        <f>[2]Base!A154</f>
        <v>BRASIL</v>
      </c>
      <c r="C154" s="19" t="str">
        <f>[2]Base!C154</f>
        <v>NM</v>
      </c>
      <c r="D154" s="19" t="str">
        <f>[2]Base!EQ154</f>
        <v>Bancos</v>
      </c>
      <c r="E154" s="19" t="str">
        <f>[2]Base!M154</f>
        <v>BB Investimentos</v>
      </c>
      <c r="F154" s="19" t="str">
        <f>[2]Base!F154</f>
        <v>FOLLOW-ON</v>
      </c>
      <c r="G154" s="19" t="str">
        <f>[2]Base!G154</f>
        <v>ICVM 400</v>
      </c>
      <c r="H154" s="20">
        <f>[2]Base!X154</f>
        <v>39429</v>
      </c>
      <c r="I154" s="21">
        <f>[2]Base!W154</f>
        <v>29.25</v>
      </c>
      <c r="J154" s="22">
        <f>[2]Base!J154</f>
        <v>39433</v>
      </c>
      <c r="K154" s="23">
        <f>[2]Base!BL154</f>
        <v>115013</v>
      </c>
      <c r="L154" s="23">
        <f>[2]Base!DZ154</f>
        <v>122023</v>
      </c>
      <c r="M154" s="24">
        <f>[2]Base!AO154</f>
        <v>0</v>
      </c>
      <c r="N154" s="24">
        <f>[2]Base!AP154</f>
        <v>3443996702.25</v>
      </c>
      <c r="O154" s="25">
        <f>[2]Base!AQ154</f>
        <v>3443996702.25</v>
      </c>
      <c r="P154" s="26">
        <f>[2]Base!EF154</f>
        <v>0.36502331250163439</v>
      </c>
      <c r="Q154" s="26">
        <f>[2]Base!EH154</f>
        <v>0.17009455224428272</v>
      </c>
      <c r="R154" s="26">
        <f>[2]Base!EJ154</f>
        <v>0.43541776840852087</v>
      </c>
      <c r="S154" s="27">
        <f>[2]Base!EL154</f>
        <v>2.9464366845562071E-2</v>
      </c>
      <c r="T154" s="1"/>
    </row>
    <row r="155" spans="2:20" ht="13.8" thickBot="1" x14ac:dyDescent="0.3">
      <c r="B155" s="30" t="str">
        <f>[2]Base!A155</f>
        <v>TEMPO PART</v>
      </c>
      <c r="C155" s="31" t="str">
        <f>[2]Base!C155</f>
        <v>NM</v>
      </c>
      <c r="D155" s="31" t="str">
        <f>[2]Base!EQ155</f>
        <v>Serv. Méd. Hospit., Análises e Diagnósticos</v>
      </c>
      <c r="E155" s="31" t="str">
        <f>[2]Base!M155</f>
        <v>UBS</v>
      </c>
      <c r="F155" s="31" t="str">
        <f>[2]Base!F155</f>
        <v>IPO</v>
      </c>
      <c r="G155" s="31" t="str">
        <f>[2]Base!G155</f>
        <v>ICVM 400</v>
      </c>
      <c r="H155" s="32">
        <f>[2]Base!X155</f>
        <v>39433</v>
      </c>
      <c r="I155" s="33">
        <f>[2]Base!W155</f>
        <v>7</v>
      </c>
      <c r="J155" s="34">
        <f>[2]Base!J155</f>
        <v>39435</v>
      </c>
      <c r="K155" s="35">
        <f>[2]Base!BL155</f>
        <v>3791</v>
      </c>
      <c r="L155" s="35">
        <f>[2]Base!DZ155</f>
        <v>3938</v>
      </c>
      <c r="M155" s="36">
        <f>[2]Base!AO155</f>
        <v>393750000</v>
      </c>
      <c r="N155" s="36">
        <f>[2]Base!AP155</f>
        <v>26045600</v>
      </c>
      <c r="O155" s="37">
        <f>[2]Base!AQ155</f>
        <v>419795600</v>
      </c>
      <c r="P155" s="38">
        <f>[2]Base!EF155</f>
        <v>8.6450086956521732E-2</v>
      </c>
      <c r="Q155" s="38">
        <f>[2]Base!EH155</f>
        <v>6.7374716908212562E-2</v>
      </c>
      <c r="R155" s="38">
        <f>[2]Base!EJ155</f>
        <v>0.83723370048309176</v>
      </c>
      <c r="S155" s="39">
        <f>[2]Base!EL155</f>
        <v>8.9414956521739128E-3</v>
      </c>
      <c r="T155" s="1"/>
    </row>
    <row r="156" spans="2:20" ht="13.8" thickTop="1" x14ac:dyDescent="0.25">
      <c r="B156" s="40" t="str">
        <f>[2]Base!A156</f>
        <v>NUTRIPLANT</v>
      </c>
      <c r="C156" s="41" t="str">
        <f>[2]Base!C156</f>
        <v>MA</v>
      </c>
      <c r="D156" s="41" t="str">
        <f>[2]Base!EQ156</f>
        <v>Fertilizantes e Defensivos</v>
      </c>
      <c r="E156" s="41" t="str">
        <f>[2]Base!M156</f>
        <v>HSBC</v>
      </c>
      <c r="F156" s="41" t="str">
        <f>[2]Base!F156</f>
        <v>IPO</v>
      </c>
      <c r="G156" s="41" t="str">
        <f>[2]Base!G156</f>
        <v>ICVM 400</v>
      </c>
      <c r="H156" s="42">
        <f>[2]Base!X156</f>
        <v>39489</v>
      </c>
      <c r="I156" s="43">
        <f>[2]Base!W156</f>
        <v>10</v>
      </c>
      <c r="J156" s="44">
        <f>[2]Base!J156</f>
        <v>39491</v>
      </c>
      <c r="K156" s="45">
        <f>[2]Base!BL156</f>
        <v>1</v>
      </c>
      <c r="L156" s="45">
        <f>[2]Base!DZ156</f>
        <v>8</v>
      </c>
      <c r="M156" s="46">
        <f>[2]Base!AO156</f>
        <v>20701000</v>
      </c>
      <c r="N156" s="46">
        <f>[2]Base!AP156</f>
        <v>0</v>
      </c>
      <c r="O156" s="47">
        <f>[2]Base!AQ156</f>
        <v>20701000</v>
      </c>
      <c r="P156" s="48">
        <f>[2]Base!EF156</f>
        <v>0.36713202260760347</v>
      </c>
      <c r="Q156" s="48">
        <f>[2]Base!EH156</f>
        <v>0.25607458576880343</v>
      </c>
      <c r="R156" s="48">
        <f>[2]Base!EJ156</f>
        <v>0.10627505917588523</v>
      </c>
      <c r="S156" s="49">
        <f>[2]Base!EL156</f>
        <v>0.27051833244770784</v>
      </c>
      <c r="T156" s="1"/>
    </row>
    <row r="157" spans="2:20" ht="13.2" x14ac:dyDescent="0.25">
      <c r="B157" s="18" t="str">
        <f>[2]Base!A157</f>
        <v>GP INVEST ¹</v>
      </c>
      <c r="C157" s="19" t="str">
        <f>[2]Base!C157</f>
        <v>BDR</v>
      </c>
      <c r="D157" s="19" t="str">
        <f>[2]Base!EQ157</f>
        <v>Holdings Diversificadas</v>
      </c>
      <c r="E157" s="19" t="str">
        <f>[2]Base!M157</f>
        <v>Credit Suisse</v>
      </c>
      <c r="F157" s="19" t="str">
        <f>[2]Base!F157</f>
        <v>FOLLOW-ON</v>
      </c>
      <c r="G157" s="19" t="str">
        <f>[2]Base!G157</f>
        <v>ICVM 400</v>
      </c>
      <c r="H157" s="20">
        <f>[2]Base!X157</f>
        <v>39500</v>
      </c>
      <c r="I157" s="21">
        <f>[2]Base!W157</f>
        <v>59</v>
      </c>
      <c r="J157" s="22">
        <f>[2]Base!J157</f>
        <v>39504</v>
      </c>
      <c r="K157" s="23">
        <f>[2]Base!BL157</f>
        <v>48</v>
      </c>
      <c r="L157" s="23">
        <f>[2]Base!DZ157</f>
        <v>159</v>
      </c>
      <c r="M157" s="24">
        <f>[2]Base!AO157</f>
        <v>366707007</v>
      </c>
      <c r="N157" s="24">
        <f>[2]Base!AP157</f>
        <v>0</v>
      </c>
      <c r="O157" s="25">
        <f>[2]Base!AQ157</f>
        <v>366707007</v>
      </c>
      <c r="P157" s="26">
        <f>[2]Base!EF157</f>
        <v>4.974906574392237E-2</v>
      </c>
      <c r="Q157" s="26">
        <f>[2]Base!EH157</f>
        <v>6.8729101214038163E-2</v>
      </c>
      <c r="R157" s="26">
        <f>[2]Base!EJ157</f>
        <v>0.87732256776866002</v>
      </c>
      <c r="S157" s="27">
        <f>[2]Base!EL157</f>
        <v>4.1992652733794092E-3</v>
      </c>
      <c r="T157" s="1"/>
    </row>
    <row r="158" spans="2:20" ht="13.2" x14ac:dyDescent="0.25">
      <c r="B158" s="18" t="str">
        <f>[2]Base!A158</f>
        <v>REDECARD</v>
      </c>
      <c r="C158" s="19" t="str">
        <f>[2]Base!C158</f>
        <v>NM</v>
      </c>
      <c r="D158" s="19" t="str">
        <f>[2]Base!EQ158</f>
        <v>Serviços Financeiros Diversos</v>
      </c>
      <c r="E158" s="19" t="str">
        <f>[2]Base!M158</f>
        <v>Citi</v>
      </c>
      <c r="F158" s="19" t="str">
        <f>[2]Base!F158</f>
        <v>FOLLOW-ON</v>
      </c>
      <c r="G158" s="19" t="str">
        <f>[2]Base!G158</f>
        <v>ICVM 400</v>
      </c>
      <c r="H158" s="20">
        <f>[2]Base!X158</f>
        <v>39519</v>
      </c>
      <c r="I158" s="21">
        <f>[2]Base!W158</f>
        <v>26</v>
      </c>
      <c r="J158" s="22">
        <f>[2]Base!J158</f>
        <v>39521</v>
      </c>
      <c r="K158" s="23">
        <f>[2]Base!BL158</f>
        <v>7218</v>
      </c>
      <c r="L158" s="23">
        <f>[2]Base!DZ158</f>
        <v>7714</v>
      </c>
      <c r="M158" s="24">
        <f>[2]Base!AO158</f>
        <v>0</v>
      </c>
      <c r="N158" s="24">
        <f>[2]Base!AP158</f>
        <v>1216703202</v>
      </c>
      <c r="O158" s="25">
        <f>[2]Base!AQ158</f>
        <v>1216703202</v>
      </c>
      <c r="P158" s="26">
        <f>[2]Base!EF158</f>
        <v>8.1552876524771403E-2</v>
      </c>
      <c r="Q158" s="26">
        <f>[2]Base!EH158</f>
        <v>0.12009384849140883</v>
      </c>
      <c r="R158" s="26">
        <f>[2]Base!EJ158</f>
        <v>0.79656163673020397</v>
      </c>
      <c r="S158" s="27">
        <f>[2]Base!EL158</f>
        <v>1.7916382536157737E-3</v>
      </c>
      <c r="T158" s="1"/>
    </row>
    <row r="159" spans="2:20" ht="13.2" x14ac:dyDescent="0.25">
      <c r="B159" s="18" t="str">
        <f>[2]Base!A159</f>
        <v>HYPERMARCAS</v>
      </c>
      <c r="C159" s="19" t="str">
        <f>[2]Base!C159</f>
        <v>NM</v>
      </c>
      <c r="D159" s="19" t="str">
        <f>[2]Base!EQ159</f>
        <v>Produtos Diversos</v>
      </c>
      <c r="E159" s="19" t="str">
        <f>[2]Base!M159</f>
        <v>Citi</v>
      </c>
      <c r="F159" s="19" t="str">
        <f>[2]Base!F159</f>
        <v>IPO</v>
      </c>
      <c r="G159" s="19" t="str">
        <f>[2]Base!G159</f>
        <v>ICVM 400</v>
      </c>
      <c r="H159" s="20">
        <f>[2]Base!X159</f>
        <v>39554</v>
      </c>
      <c r="I159" s="21">
        <f>[2]Base!W159</f>
        <v>17</v>
      </c>
      <c r="J159" s="22">
        <f>[2]Base!J159</f>
        <v>39556</v>
      </c>
      <c r="K159" s="23">
        <f>[2]Base!BL159</f>
        <v>12933</v>
      </c>
      <c r="L159" s="23">
        <f>[2]Base!DZ159</f>
        <v>13465</v>
      </c>
      <c r="M159" s="24">
        <f>[2]Base!AO159</f>
        <v>612390099</v>
      </c>
      <c r="N159" s="24">
        <f>[2]Base!AP159</f>
        <v>0</v>
      </c>
      <c r="O159" s="25">
        <f>[2]Base!AQ159</f>
        <v>612390099</v>
      </c>
      <c r="P159" s="26">
        <f>[2]Base!EF159</f>
        <v>9.8651726334894788E-2</v>
      </c>
      <c r="Q159" s="26">
        <f>[2]Base!EH159</f>
        <v>1.5599772666556249E-2</v>
      </c>
      <c r="R159" s="26">
        <f>[2]Base!EJ159</f>
        <v>0.85081234252812543</v>
      </c>
      <c r="S159" s="27">
        <f>[2]Base!EL159</f>
        <v>3.4936158470423563E-2</v>
      </c>
      <c r="T159" s="1"/>
    </row>
    <row r="160" spans="2:20" ht="13.2" x14ac:dyDescent="0.25">
      <c r="B160" s="18" t="str">
        <f>[2]Base!A160</f>
        <v>ANHANGUERA</v>
      </c>
      <c r="C160" s="19" t="str">
        <f>[2]Base!C160</f>
        <v>N2</v>
      </c>
      <c r="D160" s="19" t="str">
        <f>[2]Base!EQ160</f>
        <v>Serviços Educacionais</v>
      </c>
      <c r="E160" s="19" t="str">
        <f>[2]Base!M160</f>
        <v>Credit Suisse</v>
      </c>
      <c r="F160" s="19" t="str">
        <f>[2]Base!F160</f>
        <v>FOLLOW-ON</v>
      </c>
      <c r="G160" s="19" t="str">
        <f>[2]Base!G160</f>
        <v>ICVM 400</v>
      </c>
      <c r="H160" s="20">
        <f>[2]Base!X160</f>
        <v>39560</v>
      </c>
      <c r="I160" s="21">
        <f>[2]Base!W160</f>
        <v>26</v>
      </c>
      <c r="J160" s="22">
        <f>[2]Base!J160</f>
        <v>39561</v>
      </c>
      <c r="K160" s="23">
        <f>[2]Base!BL160</f>
        <v>1064</v>
      </c>
      <c r="L160" s="23">
        <f>[2]Base!DZ160</f>
        <v>1207</v>
      </c>
      <c r="M160" s="24">
        <f>[2]Base!AO160</f>
        <v>508300000</v>
      </c>
      <c r="N160" s="24">
        <f>[2]Base!AP160</f>
        <v>0</v>
      </c>
      <c r="O160" s="25">
        <f>[2]Base!AQ160</f>
        <v>508300000</v>
      </c>
      <c r="P160" s="26">
        <f>[2]Base!EF160</f>
        <v>3.9412327365728902E-2</v>
      </c>
      <c r="Q160" s="26">
        <f>[2]Base!EH160</f>
        <v>7.6726342710997447E-4</v>
      </c>
      <c r="R160" s="26">
        <f>[2]Base!EJ160</f>
        <v>0.9575172890025575</v>
      </c>
      <c r="S160" s="27">
        <f>[2]Base!EL160</f>
        <v>2.3031202046035807E-3</v>
      </c>
      <c r="T160" s="1"/>
    </row>
    <row r="161" spans="2:20" ht="13.2" x14ac:dyDescent="0.25">
      <c r="B161" s="18" t="str">
        <f>[2]Base!A161</f>
        <v>COPASA</v>
      </c>
      <c r="C161" s="19" t="str">
        <f>[2]Base!C161</f>
        <v>NM</v>
      </c>
      <c r="D161" s="19" t="str">
        <f>[2]Base!EQ161</f>
        <v>Água e Saneamento</v>
      </c>
      <c r="E161" s="19" t="str">
        <f>[2]Base!M161</f>
        <v>BB Investimentos</v>
      </c>
      <c r="F161" s="19" t="str">
        <f>[2]Base!F161</f>
        <v>FOLLOW-ON</v>
      </c>
      <c r="G161" s="19" t="str">
        <f>[2]Base!G161</f>
        <v>ICVM 400</v>
      </c>
      <c r="H161" s="20">
        <f>[2]Base!X161</f>
        <v>39561</v>
      </c>
      <c r="I161" s="21">
        <f>[2]Base!W161</f>
        <v>24.5</v>
      </c>
      <c r="J161" s="22">
        <f>[2]Base!J161</f>
        <v>39563</v>
      </c>
      <c r="K161" s="23">
        <f>[2]Base!BL161</f>
        <v>747</v>
      </c>
      <c r="L161" s="23">
        <f>[2]Base!DZ161</f>
        <v>939</v>
      </c>
      <c r="M161" s="24">
        <f>[2]Base!AO161</f>
        <v>0</v>
      </c>
      <c r="N161" s="24">
        <f>[2]Base!AP161</f>
        <v>460024764.5</v>
      </c>
      <c r="O161" s="25">
        <f>[2]Base!AQ161</f>
        <v>460024764.5</v>
      </c>
      <c r="P161" s="26">
        <f>[2]Base!EF161</f>
        <v>2.434790768747842E-2</v>
      </c>
      <c r="Q161" s="26">
        <f>[2]Base!EH161</f>
        <v>0.20458305348472169</v>
      </c>
      <c r="R161" s="26">
        <f>[2]Base!EJ161</f>
        <v>0.77085621985031194</v>
      </c>
      <c r="S161" s="27">
        <f>[2]Base!EL161</f>
        <v>2.1281897748789565E-4</v>
      </c>
      <c r="T161" s="1"/>
    </row>
    <row r="162" spans="2:20" ht="13.2" x14ac:dyDescent="0.25">
      <c r="B162" s="18" t="str">
        <f>[2]Base!A162</f>
        <v>GERDAU</v>
      </c>
      <c r="C162" s="19" t="str">
        <f>[2]Base!C162</f>
        <v>N1</v>
      </c>
      <c r="D162" s="19" t="str">
        <f>[2]Base!EQ162</f>
        <v>Siderurgia</v>
      </c>
      <c r="E162" s="19" t="str">
        <f>[2]Base!M162</f>
        <v>Itaú BBA</v>
      </c>
      <c r="F162" s="19" t="str">
        <f>[2]Base!F162</f>
        <v>FOLLOW-ON</v>
      </c>
      <c r="G162" s="19" t="str">
        <f>[2]Base!G162</f>
        <v>ICVM 400</v>
      </c>
      <c r="H162" s="20">
        <f>[2]Base!X162</f>
        <v>39562</v>
      </c>
      <c r="I162" s="21">
        <f>[2]Base!W162</f>
        <v>60.3</v>
      </c>
      <c r="J162" s="22">
        <f>[2]Base!J162</f>
        <v>39566</v>
      </c>
      <c r="K162" s="23">
        <f>[2]Base!BL162</f>
        <v>9770</v>
      </c>
      <c r="L162" s="23">
        <f>[2]Base!DZ162</f>
        <v>10800</v>
      </c>
      <c r="M162" s="24">
        <f>[2]Base!AO162</f>
        <v>2900252959.1999998</v>
      </c>
      <c r="N162" s="24">
        <f>[2]Base!AP162</f>
        <v>0</v>
      </c>
      <c r="O162" s="25">
        <f>[2]Base!AQ162</f>
        <v>2900252959.1999998</v>
      </c>
      <c r="P162" s="26">
        <f>[2]Base!EF162</f>
        <v>8.6270816863166525E-2</v>
      </c>
      <c r="Q162" s="26">
        <f>[2]Base!EH162</f>
        <v>0.11988496844630683</v>
      </c>
      <c r="R162" s="26">
        <f>[2]Base!EJ162</f>
        <v>0.289346850776588</v>
      </c>
      <c r="S162" s="27">
        <f>[2]Base!EL162</f>
        <v>0.50449736391393873</v>
      </c>
      <c r="T162" s="1"/>
    </row>
    <row r="163" spans="2:20" ht="13.2" x14ac:dyDescent="0.25">
      <c r="B163" s="18" t="str">
        <f>[2]Base!A163</f>
        <v>GERDAU MET</v>
      </c>
      <c r="C163" s="19" t="str">
        <f>[2]Base!C163</f>
        <v>N1</v>
      </c>
      <c r="D163" s="19" t="str">
        <f>[2]Base!EQ163</f>
        <v>Siderurgia</v>
      </c>
      <c r="E163" s="19" t="str">
        <f>[2]Base!M163</f>
        <v>Itaú BBA</v>
      </c>
      <c r="F163" s="19" t="str">
        <f>[2]Base!F163</f>
        <v>FOLLOW-ON</v>
      </c>
      <c r="G163" s="19" t="str">
        <f>[2]Base!G163</f>
        <v>ICVM 400</v>
      </c>
      <c r="H163" s="20">
        <f>[2]Base!X163</f>
        <v>39562</v>
      </c>
      <c r="I163" s="21">
        <f>[2]Base!W163</f>
        <v>78.349999999999994</v>
      </c>
      <c r="J163" s="22">
        <f>[2]Base!J163</f>
        <v>39566</v>
      </c>
      <c r="K163" s="23">
        <f>[2]Base!BL163</f>
        <v>3238</v>
      </c>
      <c r="L163" s="23">
        <f>[2]Base!DZ163</f>
        <v>3907</v>
      </c>
      <c r="M163" s="24">
        <f>[2]Base!AO163</f>
        <v>1505181301.55</v>
      </c>
      <c r="N163" s="24">
        <f>[2]Base!AP163</f>
        <v>0</v>
      </c>
      <c r="O163" s="25">
        <f>[2]Base!AQ163</f>
        <v>1505181301.55</v>
      </c>
      <c r="P163" s="26">
        <f>[2]Base!EF163</f>
        <v>0.21396582675346351</v>
      </c>
      <c r="Q163" s="26">
        <f>[2]Base!EH163</f>
        <v>0.35649979155163924</v>
      </c>
      <c r="R163" s="26">
        <f>[2]Base!EJ163</f>
        <v>0.16128203263620991</v>
      </c>
      <c r="S163" s="27">
        <f>[2]Base!EL163</f>
        <v>0.26825234905868739</v>
      </c>
      <c r="T163" s="1"/>
    </row>
    <row r="164" spans="2:20" ht="13.2" x14ac:dyDescent="0.25">
      <c r="B164" s="18" t="str">
        <f>[2]Base!A164</f>
        <v>LE LIS BLANC</v>
      </c>
      <c r="C164" s="19" t="str">
        <f>[2]Base!C164</f>
        <v>NM</v>
      </c>
      <c r="D164" s="19" t="str">
        <f>[2]Base!EQ164</f>
        <v>Tecidos, Vestuário e Calçados</v>
      </c>
      <c r="E164" s="19" t="str">
        <f>[2]Base!M164</f>
        <v>Merrill Lynch</v>
      </c>
      <c r="F164" s="19" t="str">
        <f>[2]Base!F164</f>
        <v>IPO</v>
      </c>
      <c r="G164" s="19" t="str">
        <f>[2]Base!G164</f>
        <v>ICVM 400</v>
      </c>
      <c r="H164" s="20">
        <f>[2]Base!X164</f>
        <v>39563</v>
      </c>
      <c r="I164" s="21">
        <f>[2]Base!W164</f>
        <v>6.75</v>
      </c>
      <c r="J164" s="22">
        <f>[2]Base!J164</f>
        <v>39567</v>
      </c>
      <c r="K164" s="23">
        <f>[2]Base!BL164</f>
        <v>270</v>
      </c>
      <c r="L164" s="23">
        <f>[2]Base!DZ164</f>
        <v>318</v>
      </c>
      <c r="M164" s="24">
        <f>[2]Base!AO164</f>
        <v>150187500</v>
      </c>
      <c r="N164" s="24">
        <f>[2]Base!AP164</f>
        <v>0</v>
      </c>
      <c r="O164" s="25">
        <f>[2]Base!AQ164</f>
        <v>150187500</v>
      </c>
      <c r="P164" s="26">
        <f>[2]Base!EF164</f>
        <v>1.1775909156245509E-2</v>
      </c>
      <c r="Q164" s="26">
        <f>[2]Base!EH164</f>
        <v>5.7334541396346413E-3</v>
      </c>
      <c r="R164" s="26">
        <f>[2]Base!EJ164</f>
        <v>0.86861830215464819</v>
      </c>
      <c r="S164" s="27">
        <f>[2]Base!EL164</f>
        <v>0.11387233454947164</v>
      </c>
      <c r="T164" s="1"/>
    </row>
    <row r="165" spans="2:20" ht="13.2" x14ac:dyDescent="0.25">
      <c r="B165" s="18" t="str">
        <f>[2]Base!A165</f>
        <v>OGX PETROLEO</v>
      </c>
      <c r="C165" s="19" t="str">
        <f>[2]Base!C165</f>
        <v>NM</v>
      </c>
      <c r="D165" s="19" t="str">
        <f>[2]Base!EQ165</f>
        <v>Exploração e/ou Refino</v>
      </c>
      <c r="E165" s="19" t="str">
        <f>[2]Base!M165</f>
        <v>UBS</v>
      </c>
      <c r="F165" s="19" t="str">
        <f>[2]Base!F165</f>
        <v>IPO</v>
      </c>
      <c r="G165" s="19" t="str">
        <f>[2]Base!G165</f>
        <v>ICVM 400</v>
      </c>
      <c r="H165" s="20">
        <f>[2]Base!X165</f>
        <v>39610</v>
      </c>
      <c r="I165" s="21">
        <f>[2]Base!W165</f>
        <v>1131</v>
      </c>
      <c r="J165" s="22">
        <f>[2]Base!J165</f>
        <v>39612</v>
      </c>
      <c r="K165" s="23">
        <f>[2]Base!BL165</f>
        <v>1308</v>
      </c>
      <c r="L165" s="23">
        <f>[2]Base!DZ165</f>
        <v>2560</v>
      </c>
      <c r="M165" s="24">
        <f>[2]Base!AO165</f>
        <v>6711662763</v>
      </c>
      <c r="N165" s="24">
        <f>[2]Base!AP165</f>
        <v>0</v>
      </c>
      <c r="O165" s="25">
        <f>[2]Base!AQ165</f>
        <v>6711662763</v>
      </c>
      <c r="P165" s="26">
        <f>[2]Base!EF165</f>
        <v>8.0661270554960987E-2</v>
      </c>
      <c r="Q165" s="26">
        <f>[2]Base!EH165</f>
        <v>8.4198182321575027E-2</v>
      </c>
      <c r="R165" s="26">
        <f>[2]Base!EJ165</f>
        <v>0.63463190857582719</v>
      </c>
      <c r="S165" s="27">
        <f>[2]Base!EL165</f>
        <v>0.20050863854763676</v>
      </c>
      <c r="T165" s="1"/>
    </row>
    <row r="166" spans="2:20" ht="13.2" x14ac:dyDescent="0.25">
      <c r="B166" s="18" t="str">
        <f>[2]Base!A166</f>
        <v>SLC AGRICOLA</v>
      </c>
      <c r="C166" s="19" t="str">
        <f>[2]Base!C166</f>
        <v>NM</v>
      </c>
      <c r="D166" s="19" t="str">
        <f>[2]Base!EQ166</f>
        <v>Agricultura</v>
      </c>
      <c r="E166" s="19" t="str">
        <f>[2]Base!M166</f>
        <v>Credit Suisse</v>
      </c>
      <c r="F166" s="19" t="str">
        <f>[2]Base!F166</f>
        <v>FOLLOW-ON</v>
      </c>
      <c r="G166" s="19" t="str">
        <f>[2]Base!G166</f>
        <v>ICVM 400</v>
      </c>
      <c r="H166" s="20">
        <f>[2]Base!X166</f>
        <v>39624</v>
      </c>
      <c r="I166" s="21">
        <f>[2]Base!W166</f>
        <v>27.5</v>
      </c>
      <c r="J166" s="22">
        <f>[2]Base!J166</f>
        <v>39626</v>
      </c>
      <c r="K166" s="23">
        <f>[2]Base!BL166</f>
        <v>2860</v>
      </c>
      <c r="L166" s="23">
        <f>[2]Base!DZ166</f>
        <v>3076</v>
      </c>
      <c r="M166" s="24">
        <f>[2]Base!AO166</f>
        <v>258431250</v>
      </c>
      <c r="N166" s="24">
        <f>[2]Base!AP166</f>
        <v>110756222.5</v>
      </c>
      <c r="O166" s="25">
        <f>[2]Base!AQ166</f>
        <v>369187472.5</v>
      </c>
      <c r="P166" s="26">
        <f>[2]Base!EF166</f>
        <v>8.4590918777722068E-2</v>
      </c>
      <c r="Q166" s="26">
        <f>[2]Base!EH166</f>
        <v>0.11771352832130565</v>
      </c>
      <c r="R166" s="26">
        <f>[2]Base!EJ166</f>
        <v>0.78270396891649674</v>
      </c>
      <c r="S166" s="27">
        <f>[2]Base!EL166</f>
        <v>1.499158398447553E-2</v>
      </c>
      <c r="T166" s="1"/>
    </row>
    <row r="167" spans="2:20" ht="13.8" thickBot="1" x14ac:dyDescent="0.3">
      <c r="B167" s="30" t="str">
        <f>[2]Base!A167</f>
        <v>VALE R DOCE</v>
      </c>
      <c r="C167" s="31" t="str">
        <f>[2]Base!C167</f>
        <v>N1</v>
      </c>
      <c r="D167" s="31" t="str">
        <f>[2]Base!EQ167</f>
        <v>Minerais Metálicos</v>
      </c>
      <c r="E167" s="31" t="str">
        <f>[2]Base!M167</f>
        <v>Credit Suisse</v>
      </c>
      <c r="F167" s="31" t="str">
        <f>[2]Base!F167</f>
        <v>FOLLOW-ON</v>
      </c>
      <c r="G167" s="31" t="str">
        <f>[2]Base!G167</f>
        <v>ICVM 400</v>
      </c>
      <c r="H167" s="32">
        <f>[2]Base!X167</f>
        <v>39645</v>
      </c>
      <c r="I167" s="33">
        <f>[2]Base!W167</f>
        <v>43.575402645544614</v>
      </c>
      <c r="J167" s="34">
        <f>[2]Base!J167</f>
        <v>39647</v>
      </c>
      <c r="K167" s="35">
        <f>[2]Base!BL167</f>
        <v>29608</v>
      </c>
      <c r="L167" s="35">
        <f>[2]Base!DZ167</f>
        <v>32392</v>
      </c>
      <c r="M167" s="36">
        <f>[2]Base!AO167</f>
        <v>19434193128.68</v>
      </c>
      <c r="N167" s="36">
        <f>[2]Base!AP167</f>
        <v>0</v>
      </c>
      <c r="O167" s="37">
        <f>[2]Base!AQ167</f>
        <v>19434193128.68</v>
      </c>
      <c r="P167" s="38">
        <f>[2]Base!EF167</f>
        <v>4.5506017462490819E-2</v>
      </c>
      <c r="Q167" s="38">
        <f>[2]Base!EH167</f>
        <v>0.14192265358138625</v>
      </c>
      <c r="R167" s="38">
        <f>[2]Base!EJ167</f>
        <v>0.39360010380860933</v>
      </c>
      <c r="S167" s="39">
        <f>[2]Base!EL167</f>
        <v>0.41897122514751362</v>
      </c>
      <c r="T167" s="1"/>
    </row>
    <row r="168" spans="2:20" ht="13.8" thickTop="1" x14ac:dyDescent="0.25">
      <c r="B168" s="40" t="str">
        <f>[2]Base!A168</f>
        <v>REDECARD</v>
      </c>
      <c r="C168" s="41" t="str">
        <f>[2]Base!C168</f>
        <v>NM</v>
      </c>
      <c r="D168" s="41" t="str">
        <f>[2]Base!EQ168</f>
        <v>Serviços Financeiros Diversos</v>
      </c>
      <c r="E168" s="41" t="str">
        <f>[2]Base!M168</f>
        <v>Citi</v>
      </c>
      <c r="F168" s="41" t="str">
        <f>[2]Base!F168</f>
        <v>FOLLOW-ON</v>
      </c>
      <c r="G168" s="41" t="str">
        <f>[2]Base!G168</f>
        <v>ICVM 400</v>
      </c>
      <c r="H168" s="42">
        <f>[2]Base!X168</f>
        <v>39896</v>
      </c>
      <c r="I168" s="43">
        <f>[2]Base!W168</f>
        <v>24.5</v>
      </c>
      <c r="J168" s="44">
        <f>[2]Base!J168</f>
        <v>39898</v>
      </c>
      <c r="K168" s="45">
        <f>[2]Base!BL168</f>
        <v>2604</v>
      </c>
      <c r="L168" s="45">
        <f>[2]Base!DZ168</f>
        <v>3435</v>
      </c>
      <c r="M168" s="46">
        <f>[2]Base!AO168</f>
        <v>0</v>
      </c>
      <c r="N168" s="46">
        <f>[2]Base!AP168</f>
        <v>2212895370</v>
      </c>
      <c r="O168" s="47">
        <f>[2]Base!AQ168</f>
        <v>2212895370</v>
      </c>
      <c r="P168" s="48">
        <f>[2]Base!EF168</f>
        <v>4.2549046049113477E-2</v>
      </c>
      <c r="Q168" s="48">
        <f>[2]Base!EH168</f>
        <v>8.1236895533836284E-2</v>
      </c>
      <c r="R168" s="48">
        <f>[2]Base!EJ168</f>
        <v>0.87399881269578505</v>
      </c>
      <c r="S168" s="49">
        <f>[2]Base!EL168</f>
        <v>2.2152457212651676E-3</v>
      </c>
      <c r="T168" s="1"/>
    </row>
    <row r="169" spans="2:20" ht="13.2" x14ac:dyDescent="0.25">
      <c r="B169" s="18" t="str">
        <f>[2]Base!A169</f>
        <v>MRV</v>
      </c>
      <c r="C169" s="19" t="str">
        <f>[2]Base!C169</f>
        <v>NM</v>
      </c>
      <c r="D169" s="19" t="str">
        <f>[2]Base!EQ169</f>
        <v>Construção Civil</v>
      </c>
      <c r="E169" s="19" t="str">
        <f>[2]Base!M169</f>
        <v>UBS</v>
      </c>
      <c r="F169" s="19" t="str">
        <f>[2]Base!F169</f>
        <v>FOLLOW-ON</v>
      </c>
      <c r="G169" s="19" t="str">
        <f>[2]Base!G169</f>
        <v>ICVM 400</v>
      </c>
      <c r="H169" s="20">
        <f>[2]Base!X169</f>
        <v>39987</v>
      </c>
      <c r="I169" s="21">
        <f>[2]Base!W169</f>
        <v>24.5</v>
      </c>
      <c r="J169" s="22">
        <f>[2]Base!J169</f>
        <v>39989</v>
      </c>
      <c r="K169" s="23">
        <f>[2]Base!BL169</f>
        <v>1310</v>
      </c>
      <c r="L169" s="23">
        <f>[2]Base!DZ169</f>
        <v>1880</v>
      </c>
      <c r="M169" s="24">
        <f>[2]Base!AO169</f>
        <v>595350000</v>
      </c>
      <c r="N169" s="24">
        <f>[2]Base!AP169</f>
        <v>126787500</v>
      </c>
      <c r="O169" s="25">
        <f>[2]Base!AQ169</f>
        <v>722137500</v>
      </c>
      <c r="P169" s="26">
        <f>[2]Base!EF169</f>
        <v>6.569669211195929E-2</v>
      </c>
      <c r="Q169" s="26">
        <f>[2]Base!EH169</f>
        <v>0.2333591518235793</v>
      </c>
      <c r="R169" s="26">
        <f>[2]Base!EJ169</f>
        <v>0.70026388464800682</v>
      </c>
      <c r="S169" s="27">
        <f>[2]Base!EL169</f>
        <v>6.8027141645462261E-4</v>
      </c>
      <c r="T169" s="1"/>
    </row>
    <row r="170" spans="2:20" ht="13.2" x14ac:dyDescent="0.25">
      <c r="B170" s="18" t="str">
        <f>[2]Base!A170</f>
        <v>VISANET</v>
      </c>
      <c r="C170" s="19" t="str">
        <f>[2]Base!C170</f>
        <v>NM</v>
      </c>
      <c r="D170" s="19" t="str">
        <f>[2]Base!EQ170</f>
        <v>Serviços Financeiros Diversos</v>
      </c>
      <c r="E170" s="19" t="str">
        <f>[2]Base!M170</f>
        <v>Bradesco BBI</v>
      </c>
      <c r="F170" s="19" t="str">
        <f>[2]Base!F170</f>
        <v>IPO</v>
      </c>
      <c r="G170" s="19" t="str">
        <f>[2]Base!G170</f>
        <v>ICVM 400</v>
      </c>
      <c r="H170" s="20">
        <f>[2]Base!X170</f>
        <v>39989</v>
      </c>
      <c r="I170" s="21">
        <f>[2]Base!W170</f>
        <v>15</v>
      </c>
      <c r="J170" s="22">
        <f>[2]Base!J170</f>
        <v>39993</v>
      </c>
      <c r="K170" s="23">
        <f>[2]Base!BL170</f>
        <v>49037</v>
      </c>
      <c r="L170" s="23">
        <f>[2]Base!DZ170</f>
        <v>52943</v>
      </c>
      <c r="M170" s="24">
        <f>[2]Base!AO170</f>
        <v>0</v>
      </c>
      <c r="N170" s="24">
        <f>[2]Base!AP170</f>
        <v>8397208920</v>
      </c>
      <c r="O170" s="25">
        <f>[2]Base!AQ170</f>
        <v>8397208920</v>
      </c>
      <c r="P170" s="26">
        <f>[2]Base!EF170</f>
        <v>8.0373646937916127E-2</v>
      </c>
      <c r="Q170" s="26">
        <f>[2]Base!EH170</f>
        <v>0.14649857193263688</v>
      </c>
      <c r="R170" s="26">
        <f>[2]Base!EJ170</f>
        <v>0.56537766241500154</v>
      </c>
      <c r="S170" s="27">
        <f>[2]Base!EL170</f>
        <v>0.20775011871444543</v>
      </c>
      <c r="T170" s="1"/>
    </row>
    <row r="171" spans="2:20" ht="13.2" x14ac:dyDescent="0.25">
      <c r="B171" s="18" t="str">
        <f>[2]Base!A171</f>
        <v>BR MALLS PAR</v>
      </c>
      <c r="C171" s="19" t="str">
        <f>[2]Base!C171</f>
        <v>NM</v>
      </c>
      <c r="D171" s="19" t="str">
        <f>[2]Base!EQ171</f>
        <v>Exploração de Imóveis</v>
      </c>
      <c r="E171" s="19" t="str">
        <f>[2]Base!M171</f>
        <v>Itaú BBA</v>
      </c>
      <c r="F171" s="19" t="str">
        <f>[2]Base!F171</f>
        <v>FOLLOW-ON</v>
      </c>
      <c r="G171" s="19" t="str">
        <f>[2]Base!G171</f>
        <v>ICVM 400</v>
      </c>
      <c r="H171" s="20">
        <f>[2]Base!X171</f>
        <v>39995</v>
      </c>
      <c r="I171" s="21">
        <f>[2]Base!W171</f>
        <v>15</v>
      </c>
      <c r="J171" s="22">
        <f>[2]Base!J171</f>
        <v>39997</v>
      </c>
      <c r="K171" s="23">
        <f>[2]Base!BL171</f>
        <v>2716</v>
      </c>
      <c r="L171" s="23">
        <f>[2]Base!DZ171</f>
        <v>3397</v>
      </c>
      <c r="M171" s="24">
        <f>[2]Base!AO171</f>
        <v>454270140</v>
      </c>
      <c r="N171" s="24">
        <f>[2]Base!AP171</f>
        <v>381586905</v>
      </c>
      <c r="O171" s="25">
        <f>[2]Base!AQ171</f>
        <v>835857045</v>
      </c>
      <c r="P171" s="26">
        <f>[2]Base!EF171</f>
        <v>8.4659440777938286E-2</v>
      </c>
      <c r="Q171" s="26">
        <f>[2]Base!EH171</f>
        <v>0.12190266339144154</v>
      </c>
      <c r="R171" s="26">
        <f>[2]Base!EJ171</f>
        <v>0.78959991298512056</v>
      </c>
      <c r="S171" s="27">
        <f>[2]Base!EL171</f>
        <v>3.8379828454996154E-3</v>
      </c>
      <c r="T171" s="1"/>
    </row>
    <row r="172" spans="2:20" ht="13.2" x14ac:dyDescent="0.25">
      <c r="B172" s="18" t="str">
        <f>[2]Base!A172</f>
        <v>LIGHT S/A</v>
      </c>
      <c r="C172" s="19" t="str">
        <f>[2]Base!C172</f>
        <v>NM</v>
      </c>
      <c r="D172" s="19" t="str">
        <f>[2]Base!EQ172</f>
        <v>Energia Elétrica</v>
      </c>
      <c r="E172" s="19" t="str">
        <f>[2]Base!M172</f>
        <v>Itaú BBA</v>
      </c>
      <c r="F172" s="19" t="str">
        <f>[2]Base!F172</f>
        <v>FOLLOW-ON</v>
      </c>
      <c r="G172" s="19" t="str">
        <f>[2]Base!G172</f>
        <v>ICVM 400</v>
      </c>
      <c r="H172" s="20">
        <f>[2]Base!X172</f>
        <v>40007</v>
      </c>
      <c r="I172" s="21">
        <f>[2]Base!W172</f>
        <v>24</v>
      </c>
      <c r="J172" s="22">
        <f>[2]Base!J172</f>
        <v>40009</v>
      </c>
      <c r="K172" s="23">
        <f>[2]Base!BL172</f>
        <v>4294</v>
      </c>
      <c r="L172" s="23">
        <f>[2]Base!DZ172</f>
        <v>4871</v>
      </c>
      <c r="M172" s="24">
        <f>[2]Base!AO172</f>
        <v>0</v>
      </c>
      <c r="N172" s="24">
        <f>[2]Base!AP172</f>
        <v>772091520</v>
      </c>
      <c r="O172" s="25">
        <f>[2]Base!AQ172</f>
        <v>772091520</v>
      </c>
      <c r="P172" s="26">
        <f>[2]Base!EF172</f>
        <v>0.18109801283661295</v>
      </c>
      <c r="Q172" s="26">
        <f>[2]Base!EH172</f>
        <v>0.34028286180374057</v>
      </c>
      <c r="R172" s="26">
        <f>[2]Base!EJ172</f>
        <v>0.47355159139683339</v>
      </c>
      <c r="S172" s="27">
        <f>[2]Base!EL172</f>
        <v>5.067533962813113E-3</v>
      </c>
      <c r="T172" s="1"/>
    </row>
    <row r="173" spans="2:20" ht="13.2" x14ac:dyDescent="0.25">
      <c r="B173" s="18" t="str">
        <f>[2]Base!A173</f>
        <v>HYPERMARCAS</v>
      </c>
      <c r="C173" s="19" t="str">
        <f>[2]Base!C173</f>
        <v>NM</v>
      </c>
      <c r="D173" s="19" t="str">
        <f>[2]Base!EQ173</f>
        <v>Produtos Diversos</v>
      </c>
      <c r="E173" s="19" t="str">
        <f>[2]Base!M173</f>
        <v>Citi</v>
      </c>
      <c r="F173" s="19" t="str">
        <f>[2]Base!F173</f>
        <v>FOLLOW-ON</v>
      </c>
      <c r="G173" s="19" t="str">
        <f>[2]Base!G173</f>
        <v>ICVM 400</v>
      </c>
      <c r="H173" s="20">
        <f>[2]Base!X173</f>
        <v>40008</v>
      </c>
      <c r="I173" s="21">
        <f>[2]Base!W173</f>
        <v>23</v>
      </c>
      <c r="J173" s="22">
        <f>[2]Base!J173</f>
        <v>40010</v>
      </c>
      <c r="K173" s="23">
        <f>[2]Base!BL173</f>
        <v>3899</v>
      </c>
      <c r="L173" s="23">
        <f>[2]Base!DZ173</f>
        <v>4442</v>
      </c>
      <c r="M173" s="24">
        <f>[2]Base!AO173</f>
        <v>563500000</v>
      </c>
      <c r="N173" s="24">
        <f>[2]Base!AP173</f>
        <v>230000000</v>
      </c>
      <c r="O173" s="25">
        <f>[2]Base!AQ173</f>
        <v>793500000</v>
      </c>
      <c r="P173" s="26">
        <f>[2]Base!EF173</f>
        <v>9.0727797101449278E-2</v>
      </c>
      <c r="Q173" s="26">
        <f>[2]Base!EH173</f>
        <v>0.10778799999999999</v>
      </c>
      <c r="R173" s="26">
        <f>[2]Base!EJ173</f>
        <v>0.79804681159420288</v>
      </c>
      <c r="S173" s="27">
        <f>[2]Base!EL173</f>
        <v>3.4373913043478262E-3</v>
      </c>
      <c r="T173" s="1"/>
    </row>
    <row r="174" spans="2:20" ht="13.2" x14ac:dyDescent="0.25">
      <c r="B174" s="18" t="str">
        <f>[2]Base!A174</f>
        <v>BRF FOODS</v>
      </c>
      <c r="C174" s="19" t="str">
        <f>[2]Base!C174</f>
        <v>NM</v>
      </c>
      <c r="D174" s="19" t="str">
        <f>[2]Base!EQ174</f>
        <v>Carnes e Derivados</v>
      </c>
      <c r="E174" s="19" t="str">
        <f>[2]Base!M174</f>
        <v>UBS</v>
      </c>
      <c r="F174" s="19" t="str">
        <f>[2]Base!F174</f>
        <v>FOLLOW-ON</v>
      </c>
      <c r="G174" s="19" t="str">
        <f>[2]Base!G174</f>
        <v>ICVM 400</v>
      </c>
      <c r="H174" s="20">
        <f>[2]Base!X174</f>
        <v>40015</v>
      </c>
      <c r="I174" s="21">
        <f>[2]Base!W174</f>
        <v>40</v>
      </c>
      <c r="J174" s="22">
        <f>[2]Base!J174</f>
        <v>40017</v>
      </c>
      <c r="K174" s="23">
        <f>[2]Base!BL174</f>
        <v>13211</v>
      </c>
      <c r="L174" s="23">
        <f>[2]Base!DZ174</f>
        <v>14783</v>
      </c>
      <c r="M174" s="24">
        <f>[2]Base!AO174</f>
        <v>5290000000</v>
      </c>
      <c r="N174" s="24">
        <f>[2]Base!AP174</f>
        <v>0</v>
      </c>
      <c r="O174" s="25">
        <f>[2]Base!AQ174</f>
        <v>5290000000</v>
      </c>
      <c r="P174" s="26">
        <f>[2]Base!EF174</f>
        <v>5.7905534971644614E-2</v>
      </c>
      <c r="Q174" s="26">
        <f>[2]Base!EH174</f>
        <v>0.21595600756143668</v>
      </c>
      <c r="R174" s="26">
        <f>[2]Base!EJ174</f>
        <v>0.31776966351606806</v>
      </c>
      <c r="S174" s="27">
        <f>[2]Base!EL174</f>
        <v>0.40836879395085068</v>
      </c>
      <c r="T174" s="1"/>
    </row>
    <row r="175" spans="2:20" ht="13.2" x14ac:dyDescent="0.25">
      <c r="B175" s="18" t="str">
        <f>[2]Base!A175</f>
        <v>NATURA</v>
      </c>
      <c r="C175" s="19" t="str">
        <f>[2]Base!C175</f>
        <v>NM</v>
      </c>
      <c r="D175" s="19" t="str">
        <f>[2]Base!EQ175</f>
        <v>Produtos de Uso Pessoal</v>
      </c>
      <c r="E175" s="19" t="str">
        <f>[2]Base!M175</f>
        <v>Itaú BBA</v>
      </c>
      <c r="F175" s="19" t="str">
        <f>[2]Base!F175</f>
        <v>FOLLOW-ON</v>
      </c>
      <c r="G175" s="19" t="str">
        <f>[2]Base!G175</f>
        <v>ICVM 400</v>
      </c>
      <c r="H175" s="20">
        <f>[2]Base!X175</f>
        <v>40024</v>
      </c>
      <c r="I175" s="21">
        <f>[2]Base!W175</f>
        <v>26.5</v>
      </c>
      <c r="J175" s="22">
        <f>[2]Base!J175</f>
        <v>40028</v>
      </c>
      <c r="K175" s="23">
        <f>[2]Base!BL175</f>
        <v>6237</v>
      </c>
      <c r="L175" s="23">
        <f>[2]Base!DZ175</f>
        <v>6944</v>
      </c>
      <c r="M175" s="24">
        <f>[2]Base!AO175</f>
        <v>0</v>
      </c>
      <c r="N175" s="24">
        <f>[2]Base!AP175</f>
        <v>1505104891.5</v>
      </c>
      <c r="O175" s="25">
        <f>[2]Base!AQ175</f>
        <v>1505104891.5</v>
      </c>
      <c r="P175" s="26">
        <f>[2]Base!EF175</f>
        <v>9.3128859849964815E-2</v>
      </c>
      <c r="Q175" s="26">
        <f>[2]Base!EH175</f>
        <v>0.26150164664453884</v>
      </c>
      <c r="R175" s="26">
        <f>[2]Base!EJ175</f>
        <v>0.58644247785304604</v>
      </c>
      <c r="S175" s="27">
        <f>[2]Base!EL175</f>
        <v>5.8927015652450294E-2</v>
      </c>
      <c r="T175" s="1"/>
    </row>
    <row r="176" spans="2:20" ht="13.2" x14ac:dyDescent="0.25">
      <c r="B176" s="18" t="str">
        <f>[2]Base!A176</f>
        <v>TIVIT</v>
      </c>
      <c r="C176" s="19" t="str">
        <f>[2]Base!C176</f>
        <v>NM</v>
      </c>
      <c r="D176" s="19" t="str">
        <f>[2]Base!EQ176</f>
        <v>Programas e Serviços</v>
      </c>
      <c r="E176" s="19" t="str">
        <f>[2]Base!M176</f>
        <v>Credit Suisse</v>
      </c>
      <c r="F176" s="19" t="str">
        <f>[2]Base!F176</f>
        <v>IPO</v>
      </c>
      <c r="G176" s="19" t="str">
        <f>[2]Base!G176</f>
        <v>ICVM 400</v>
      </c>
      <c r="H176" s="20">
        <f>[2]Base!X176</f>
        <v>40080</v>
      </c>
      <c r="I176" s="21">
        <f>[2]Base!W176</f>
        <v>15</v>
      </c>
      <c r="J176" s="22">
        <f>[2]Base!J176</f>
        <v>40084</v>
      </c>
      <c r="K176" s="23">
        <f>[2]Base!BL176</f>
        <v>5774</v>
      </c>
      <c r="L176" s="23">
        <f>[2]Base!DZ176</f>
        <v>6191</v>
      </c>
      <c r="M176" s="24">
        <f>[2]Base!AO176</f>
        <v>0</v>
      </c>
      <c r="N176" s="24">
        <f>[2]Base!AP176</f>
        <v>574566690</v>
      </c>
      <c r="O176" s="25">
        <f>[2]Base!AQ176</f>
        <v>574566690</v>
      </c>
      <c r="P176" s="26">
        <f>[2]Base!EF176</f>
        <v>8.8666426092174289E-2</v>
      </c>
      <c r="Q176" s="26">
        <f>[2]Base!EH176</f>
        <v>5.7413247893671644E-2</v>
      </c>
      <c r="R176" s="26">
        <f>[2]Base!EJ176</f>
        <v>0.85200069411855295</v>
      </c>
      <c r="S176" s="27">
        <f>[2]Base!EL176</f>
        <v>1.9196318956010826E-3</v>
      </c>
      <c r="T176" s="1"/>
    </row>
    <row r="177" spans="2:20" ht="13.2" x14ac:dyDescent="0.25">
      <c r="B177" s="18" t="str">
        <f>[2]Base!A177</f>
        <v>MULTIPLAN</v>
      </c>
      <c r="C177" s="19" t="str">
        <f>[2]Base!C177</f>
        <v>N2</v>
      </c>
      <c r="D177" s="19" t="str">
        <f>[2]Base!EQ177</f>
        <v>Exploração de Imóveis</v>
      </c>
      <c r="E177" s="19" t="str">
        <f>[2]Base!M177</f>
        <v>BTG Pactual</v>
      </c>
      <c r="F177" s="19" t="str">
        <f>[2]Base!F177</f>
        <v>FOLLOW-ON</v>
      </c>
      <c r="G177" s="19" t="str">
        <f>[2]Base!G177</f>
        <v>ICVM 400</v>
      </c>
      <c r="H177" s="20">
        <f>[2]Base!X177</f>
        <v>40080</v>
      </c>
      <c r="I177" s="21">
        <f>[2]Base!W177</f>
        <v>26.5</v>
      </c>
      <c r="J177" s="22">
        <f>[2]Base!J177</f>
        <v>40084</v>
      </c>
      <c r="K177" s="23">
        <f>[2]Base!BL177</f>
        <v>5318</v>
      </c>
      <c r="L177" s="23">
        <f>[2]Base!DZ177</f>
        <v>6050</v>
      </c>
      <c r="M177" s="24">
        <f>[2]Base!AO177</f>
        <v>792350000</v>
      </c>
      <c r="N177" s="24">
        <f>[2]Base!AP177</f>
        <v>0</v>
      </c>
      <c r="O177" s="25">
        <f>[2]Base!AQ177</f>
        <v>792350000</v>
      </c>
      <c r="P177" s="26">
        <f>[2]Base!EF177</f>
        <v>8.1040769230769236E-2</v>
      </c>
      <c r="Q177" s="26">
        <f>[2]Base!EH177</f>
        <v>0.14349234113712375</v>
      </c>
      <c r="R177" s="26">
        <f>[2]Base!EJ177</f>
        <v>0.73854304347826083</v>
      </c>
      <c r="S177" s="27">
        <f>[2]Base!EL177</f>
        <v>3.6923846153846154E-2</v>
      </c>
      <c r="T177" s="1"/>
    </row>
    <row r="178" spans="2:20" ht="13.2" x14ac:dyDescent="0.25">
      <c r="B178" s="18" t="str">
        <f>[2]Base!A178</f>
        <v>ROSSI RESID</v>
      </c>
      <c r="C178" s="19" t="str">
        <f>[2]Base!C178</f>
        <v>NM</v>
      </c>
      <c r="D178" s="19" t="str">
        <f>[2]Base!EQ178</f>
        <v>Construção Civil</v>
      </c>
      <c r="E178" s="19" t="str">
        <f>[2]Base!M178</f>
        <v>Credit Suisse</v>
      </c>
      <c r="F178" s="19" t="str">
        <f>[2]Base!F178</f>
        <v>FOLLOW-ON</v>
      </c>
      <c r="G178" s="19" t="str">
        <f>[2]Base!G178</f>
        <v>ICVM 400</v>
      </c>
      <c r="H178" s="20">
        <f>[2]Base!X178</f>
        <v>40087</v>
      </c>
      <c r="I178" s="21">
        <f>[2]Base!W178</f>
        <v>12.5</v>
      </c>
      <c r="J178" s="22">
        <f>[2]Base!J178</f>
        <v>40091</v>
      </c>
      <c r="K178" s="23">
        <f>[2]Base!BL178</f>
        <v>4342</v>
      </c>
      <c r="L178" s="23">
        <f>[2]Base!DZ178</f>
        <v>4825</v>
      </c>
      <c r="M178" s="24">
        <f>[2]Base!AO178</f>
        <v>928125000</v>
      </c>
      <c r="N178" s="24">
        <f>[2]Base!AP178</f>
        <v>0</v>
      </c>
      <c r="O178" s="25">
        <f>[2]Base!AQ178</f>
        <v>928125000</v>
      </c>
      <c r="P178" s="26">
        <f>[2]Base!EF178</f>
        <v>7.7342949494949492E-2</v>
      </c>
      <c r="Q178" s="26">
        <f>[2]Base!EH178</f>
        <v>0.19340188552188553</v>
      </c>
      <c r="R178" s="26">
        <f>[2]Base!EJ178</f>
        <v>0.72537593265993261</v>
      </c>
      <c r="S178" s="27">
        <f>[2]Base!EL178</f>
        <v>3.8792323232323231E-3</v>
      </c>
      <c r="T178" s="1"/>
    </row>
    <row r="179" spans="2:20" ht="13.2" x14ac:dyDescent="0.25">
      <c r="B179" s="18" t="str">
        <f>[2]Base!A179</f>
        <v>PDG REALT</v>
      </c>
      <c r="C179" s="19" t="str">
        <f>[2]Base!C179</f>
        <v>NM</v>
      </c>
      <c r="D179" s="19" t="str">
        <f>[2]Base!EQ179</f>
        <v>Construção Civil</v>
      </c>
      <c r="E179" s="19" t="str">
        <f>[2]Base!M179</f>
        <v>BTG Pactual</v>
      </c>
      <c r="F179" s="19" t="str">
        <f>[2]Base!F179</f>
        <v>FOLLOW-ON</v>
      </c>
      <c r="G179" s="19" t="str">
        <f>[2]Base!G179</f>
        <v>ICVM 400</v>
      </c>
      <c r="H179" s="20">
        <f>[2]Base!X179</f>
        <v>40087</v>
      </c>
      <c r="I179" s="21">
        <f>[2]Base!W179</f>
        <v>14</v>
      </c>
      <c r="J179" s="22">
        <f>[2]Base!J179</f>
        <v>40091</v>
      </c>
      <c r="K179" s="23">
        <f>[2]Base!BL179</f>
        <v>2521</v>
      </c>
      <c r="L179" s="23">
        <f>[2]Base!DZ179</f>
        <v>3287</v>
      </c>
      <c r="M179" s="24">
        <f>[2]Base!AO179</f>
        <v>784000000</v>
      </c>
      <c r="N179" s="24">
        <f>[2]Base!AP179</f>
        <v>274400000</v>
      </c>
      <c r="O179" s="25">
        <f>[2]Base!AQ179</f>
        <v>1058400000</v>
      </c>
      <c r="P179" s="26">
        <f>[2]Base!EF179</f>
        <v>7.6583769841269841E-2</v>
      </c>
      <c r="Q179" s="26">
        <f>[2]Base!EH179</f>
        <v>0.18932887566137566</v>
      </c>
      <c r="R179" s="26">
        <f>[2]Base!EJ179</f>
        <v>0.73094513227513225</v>
      </c>
      <c r="S179" s="27">
        <f>[2]Base!EL179</f>
        <v>3.142222222222222E-3</v>
      </c>
      <c r="T179" s="1"/>
    </row>
    <row r="180" spans="2:20" ht="13.2" x14ac:dyDescent="0.25">
      <c r="B180" s="18" t="str">
        <f>[2]Base!A180</f>
        <v>SANTANDER BR ¹</v>
      </c>
      <c r="C180" s="19" t="str">
        <f>[2]Base!C180</f>
        <v>N2</v>
      </c>
      <c r="D180" s="19" t="str">
        <f>[2]Base!EQ180</f>
        <v>Bancos</v>
      </c>
      <c r="E180" s="19" t="str">
        <f>[2]Base!M180</f>
        <v>Santander</v>
      </c>
      <c r="F180" s="19" t="str">
        <f>[2]Base!F180</f>
        <v>IPO</v>
      </c>
      <c r="G180" s="19" t="str">
        <f>[2]Base!G180</f>
        <v>ICVM 400</v>
      </c>
      <c r="H180" s="20">
        <f>[2]Base!X180</f>
        <v>40092</v>
      </c>
      <c r="I180" s="21">
        <f>[2]Base!W180</f>
        <v>23.5</v>
      </c>
      <c r="J180" s="22">
        <f>[2]Base!J180</f>
        <v>40093</v>
      </c>
      <c r="K180" s="23">
        <f>[2]Base!BL180</f>
        <v>74132</v>
      </c>
      <c r="L180" s="23">
        <f>[2]Base!DZ180</f>
        <v>101673</v>
      </c>
      <c r="M180" s="24">
        <f>[2]Base!AO180</f>
        <v>13182457728</v>
      </c>
      <c r="N180" s="24">
        <f>[2]Base!AP180</f>
        <v>0</v>
      </c>
      <c r="O180" s="25">
        <f>[2]Base!AQ180</f>
        <v>13182457728</v>
      </c>
      <c r="P180" s="26">
        <f>[2]Base!EF180</f>
        <v>8.2591282070867938E-2</v>
      </c>
      <c r="Q180" s="26">
        <f>[2]Base!EH180</f>
        <v>0.10176439014619766</v>
      </c>
      <c r="R180" s="26">
        <f>[2]Base!EJ180</f>
        <v>0.80160575274900281</v>
      </c>
      <c r="S180" s="27">
        <f>[2]Base!EL180</f>
        <v>1.4038575033931572E-2</v>
      </c>
      <c r="T180" s="1"/>
    </row>
    <row r="181" spans="2:20" ht="13.2" x14ac:dyDescent="0.25">
      <c r="B181" s="18" t="str">
        <f>[2]Base!A181</f>
        <v>GOL ¹</v>
      </c>
      <c r="C181" s="19" t="str">
        <f>[2]Base!C181</f>
        <v>N2</v>
      </c>
      <c r="D181" s="19" t="str">
        <f>[2]Base!EQ181</f>
        <v>Transporte Aéreo</v>
      </c>
      <c r="E181" s="19" t="str">
        <f>[2]Base!M181</f>
        <v>Itaú BBA</v>
      </c>
      <c r="F181" s="19" t="str">
        <f>[2]Base!F181</f>
        <v>FOLLOW-ON</v>
      </c>
      <c r="G181" s="19" t="str">
        <f>[2]Base!G181</f>
        <v>ICVM 400</v>
      </c>
      <c r="H181" s="20">
        <f>[2]Base!X181</f>
        <v>40094</v>
      </c>
      <c r="I181" s="21">
        <f>[2]Base!W181</f>
        <v>16.5</v>
      </c>
      <c r="J181" s="22">
        <f>[2]Base!J181</f>
        <v>40099</v>
      </c>
      <c r="K181" s="23">
        <f>[2]Base!BL181</f>
        <v>3588</v>
      </c>
      <c r="L181" s="23">
        <f>[2]Base!DZ181</f>
        <v>3986</v>
      </c>
      <c r="M181" s="24">
        <f>[2]Base!AO181</f>
        <v>627082500</v>
      </c>
      <c r="N181" s="24">
        <f>[2]Base!AP181</f>
        <v>399052500</v>
      </c>
      <c r="O181" s="25">
        <f>[2]Base!AQ181</f>
        <v>1026135000</v>
      </c>
      <c r="P181" s="26">
        <f>[2]Base!EF181</f>
        <v>4.6804614889853671E-2</v>
      </c>
      <c r="Q181" s="26">
        <f>[2]Base!EH181</f>
        <v>0.4490476443158064</v>
      </c>
      <c r="R181" s="26">
        <f>[2]Base!EJ181</f>
        <v>0.48562198102588838</v>
      </c>
      <c r="S181" s="27">
        <f>[2]Base!EL181</f>
        <v>1.852575976845152E-2</v>
      </c>
      <c r="T181" s="1"/>
    </row>
    <row r="182" spans="2:20" ht="13.2" x14ac:dyDescent="0.25">
      <c r="B182" s="18" t="str">
        <f>[2]Base!A182</f>
        <v>BROOKFIELD</v>
      </c>
      <c r="C182" s="19" t="str">
        <f>[2]Base!C182</f>
        <v>NM</v>
      </c>
      <c r="D182" s="19" t="str">
        <f>[2]Base!EQ182</f>
        <v>Construção Civil</v>
      </c>
      <c r="E182" s="19" t="str">
        <f>[2]Base!M182</f>
        <v>Itaú BBA</v>
      </c>
      <c r="F182" s="19" t="str">
        <f>[2]Base!F182</f>
        <v>FOLLOW-ON</v>
      </c>
      <c r="G182" s="19" t="str">
        <f>[2]Base!G182</f>
        <v>ICVM 400</v>
      </c>
      <c r="H182" s="20">
        <f>[2]Base!X182</f>
        <v>40106</v>
      </c>
      <c r="I182" s="21">
        <f>[2]Base!W182</f>
        <v>6.8</v>
      </c>
      <c r="J182" s="22">
        <f>[2]Base!J182</f>
        <v>40108</v>
      </c>
      <c r="K182" s="23">
        <f>[2]Base!BL182</f>
        <v>5833</v>
      </c>
      <c r="L182" s="23">
        <f>[2]Base!DZ182</f>
        <v>6519</v>
      </c>
      <c r="M182" s="24">
        <f>[2]Base!AO182</f>
        <v>562700000</v>
      </c>
      <c r="N182" s="24">
        <f>[2]Base!AP182</f>
        <v>102000000</v>
      </c>
      <c r="O182" s="25">
        <f>[2]Base!AQ182</f>
        <v>664700000</v>
      </c>
      <c r="P182" s="26">
        <f>[2]Base!EF182</f>
        <v>9.4576460358056252E-2</v>
      </c>
      <c r="Q182" s="26">
        <f>[2]Base!EH182</f>
        <v>0.42314158567774934</v>
      </c>
      <c r="R182" s="26">
        <f>[2]Base!EJ182</f>
        <v>0.43230368286445015</v>
      </c>
      <c r="S182" s="27">
        <f>[2]Base!EL182</f>
        <v>4.9978271099744245E-2</v>
      </c>
      <c r="T182" s="1"/>
    </row>
    <row r="183" spans="2:20" ht="13.2" x14ac:dyDescent="0.25">
      <c r="B183" s="18" t="str">
        <f>[2]Base!A183</f>
        <v>CCR RODOVIAS</v>
      </c>
      <c r="C183" s="19" t="str">
        <f>[2]Base!C183</f>
        <v>NM</v>
      </c>
      <c r="D183" s="19" t="str">
        <f>[2]Base!EQ183</f>
        <v>Exploração de Rodovias</v>
      </c>
      <c r="E183" s="19" t="str">
        <f>[2]Base!M183</f>
        <v>Itaú BBA</v>
      </c>
      <c r="F183" s="19" t="str">
        <f>[2]Base!F183</f>
        <v>FOLLOW-ON</v>
      </c>
      <c r="G183" s="19" t="str">
        <f>[2]Base!G183</f>
        <v>ICVM 400</v>
      </c>
      <c r="H183" s="20">
        <f>[2]Base!X183</f>
        <v>40107</v>
      </c>
      <c r="I183" s="21">
        <f>[2]Base!W183</f>
        <v>33</v>
      </c>
      <c r="J183" s="22">
        <f>[2]Base!J183</f>
        <v>40109</v>
      </c>
      <c r="K183" s="23">
        <f>[2]Base!BL183</f>
        <v>4930</v>
      </c>
      <c r="L183" s="23">
        <f>[2]Base!DZ183</f>
        <v>5612</v>
      </c>
      <c r="M183" s="24">
        <f>[2]Base!AO183</f>
        <v>1263735000</v>
      </c>
      <c r="N183" s="24">
        <f>[2]Base!AP183</f>
        <v>0</v>
      </c>
      <c r="O183" s="25">
        <f>[2]Base!AQ183</f>
        <v>1263735000</v>
      </c>
      <c r="P183" s="26">
        <f>[2]Base!EF183</f>
        <v>8.9528998563781173E-2</v>
      </c>
      <c r="Q183" s="26">
        <f>[2]Base!EH183</f>
        <v>0.21670056143099622</v>
      </c>
      <c r="R183" s="26">
        <f>[2]Base!EJ183</f>
        <v>0.68990964877921401</v>
      </c>
      <c r="S183" s="27">
        <f>[2]Base!EL183</f>
        <v>3.8607912260086173E-3</v>
      </c>
      <c r="T183" s="1"/>
    </row>
    <row r="184" spans="2:20" ht="13.2" x14ac:dyDescent="0.25">
      <c r="B184" s="18" t="str">
        <f>[2]Base!A184</f>
        <v>IGUATEMI</v>
      </c>
      <c r="C184" s="19" t="str">
        <f>[2]Base!C184</f>
        <v>NM</v>
      </c>
      <c r="D184" s="19" t="str">
        <f>[2]Base!EQ184</f>
        <v>Exploração de Imóveis</v>
      </c>
      <c r="E184" s="19" t="str">
        <f>[2]Base!M184</f>
        <v>Itaú BBA</v>
      </c>
      <c r="F184" s="19" t="str">
        <f>[2]Base!F184</f>
        <v>FOLLOW-ON</v>
      </c>
      <c r="G184" s="19" t="str">
        <f>[2]Base!G184</f>
        <v>ICVM 400</v>
      </c>
      <c r="H184" s="20">
        <f>[2]Base!X184</f>
        <v>40108</v>
      </c>
      <c r="I184" s="21">
        <f>[2]Base!W184</f>
        <v>28.5</v>
      </c>
      <c r="J184" s="22">
        <f>[2]Base!J184</f>
        <v>40112</v>
      </c>
      <c r="K184" s="23">
        <f>[2]Base!BL184</f>
        <v>3563</v>
      </c>
      <c r="L184" s="23">
        <f>[2]Base!DZ184</f>
        <v>3847</v>
      </c>
      <c r="M184" s="24">
        <f>[2]Base!AO184</f>
        <v>410400000</v>
      </c>
      <c r="N184" s="24">
        <f>[2]Base!AP184</f>
        <v>0</v>
      </c>
      <c r="O184" s="25">
        <f>[2]Base!AQ184</f>
        <v>410400000</v>
      </c>
      <c r="P184" s="26">
        <f>[2]Base!EF184</f>
        <v>8.8686061381074169E-2</v>
      </c>
      <c r="Q184" s="26">
        <f>[2]Base!EH184</f>
        <v>0.32909897698209717</v>
      </c>
      <c r="R184" s="26">
        <f>[2]Base!EJ184</f>
        <v>0.57758900255754475</v>
      </c>
      <c r="S184" s="27">
        <f>[2]Base!EL184</f>
        <v>4.6259590792838874E-3</v>
      </c>
      <c r="T184" s="1"/>
    </row>
    <row r="185" spans="2:20" ht="13.2" x14ac:dyDescent="0.25">
      <c r="B185" s="18" t="str">
        <f>[2]Base!A185</f>
        <v>CETIP</v>
      </c>
      <c r="C185" s="19" t="str">
        <f>[2]Base!C185</f>
        <v>NM</v>
      </c>
      <c r="D185" s="19" t="str">
        <f>[2]Base!EQ185</f>
        <v>Serviços Financeiros Diversos</v>
      </c>
      <c r="E185" s="19" t="str">
        <f>[2]Base!M185</f>
        <v>Itaú BBA</v>
      </c>
      <c r="F185" s="19" t="str">
        <f>[2]Base!F185</f>
        <v>IPO</v>
      </c>
      <c r="G185" s="19" t="str">
        <f>[2]Base!G185</f>
        <v>ICVM 400</v>
      </c>
      <c r="H185" s="20">
        <f>[2]Base!X185</f>
        <v>40112</v>
      </c>
      <c r="I185" s="21">
        <f>[2]Base!W185</f>
        <v>13</v>
      </c>
      <c r="J185" s="22">
        <f>[2]Base!J185</f>
        <v>40114</v>
      </c>
      <c r="K185" s="23">
        <f>[2]Base!BL185</f>
        <v>5058</v>
      </c>
      <c r="L185" s="23">
        <f>[2]Base!DZ185</f>
        <v>5437</v>
      </c>
      <c r="M185" s="24">
        <f>[2]Base!AO185</f>
        <v>0</v>
      </c>
      <c r="N185" s="24">
        <f>[2]Base!AP185</f>
        <v>772991934</v>
      </c>
      <c r="O185" s="25">
        <f>[2]Base!AQ185</f>
        <v>772991934</v>
      </c>
      <c r="P185" s="26">
        <f>[2]Base!EF185</f>
        <v>9.8154683964816275E-2</v>
      </c>
      <c r="Q185" s="26">
        <f>[2]Base!EH185</f>
        <v>5.2802500182675204E-2</v>
      </c>
      <c r="R185" s="26">
        <f>[2]Base!EJ185</f>
        <v>0.84489174491856878</v>
      </c>
      <c r="S185" s="27">
        <f>[2]Base!EL185</f>
        <v>4.1510709339397786E-3</v>
      </c>
      <c r="T185" s="1"/>
    </row>
    <row r="186" spans="2:20" ht="13.2" x14ac:dyDescent="0.25">
      <c r="B186" s="18" t="str">
        <f>[2]Base!A186</f>
        <v>CYRELA REALT</v>
      </c>
      <c r="C186" s="19" t="str">
        <f>[2]Base!C186</f>
        <v>NM</v>
      </c>
      <c r="D186" s="19" t="str">
        <f>[2]Base!EQ186</f>
        <v>Construção Civil</v>
      </c>
      <c r="E186" s="19" t="str">
        <f>[2]Base!M186</f>
        <v>Credit Suisse</v>
      </c>
      <c r="F186" s="19" t="str">
        <f>[2]Base!F186</f>
        <v>FOLLOW-ON</v>
      </c>
      <c r="G186" s="19" t="str">
        <f>[2]Base!G186</f>
        <v>ICVM 400</v>
      </c>
      <c r="H186" s="20">
        <f>[2]Base!X186</f>
        <v>40113</v>
      </c>
      <c r="I186" s="21">
        <f>[2]Base!W186</f>
        <v>22</v>
      </c>
      <c r="J186" s="22">
        <f>[2]Base!J186</f>
        <v>40115</v>
      </c>
      <c r="K186" s="23">
        <f>[2]Base!BL186</f>
        <v>5170</v>
      </c>
      <c r="L186" s="23">
        <f>[2]Base!DZ186</f>
        <v>5766</v>
      </c>
      <c r="M186" s="24">
        <f>[2]Base!AO186</f>
        <v>1182500000</v>
      </c>
      <c r="N186" s="24">
        <f>[2]Base!AP186</f>
        <v>0</v>
      </c>
      <c r="O186" s="25">
        <f>[2]Base!AQ186</f>
        <v>1182500000</v>
      </c>
      <c r="P186" s="26">
        <f>[2]Base!EF186</f>
        <v>7.9324986046511628E-2</v>
      </c>
      <c r="Q186" s="26">
        <f>[2]Base!EH186</f>
        <v>2.4330139534883721E-2</v>
      </c>
      <c r="R186" s="26">
        <f>[2]Base!EJ186</f>
        <v>0.72471419534883719</v>
      </c>
      <c r="S186" s="27">
        <f>[2]Base!EL186</f>
        <v>0.17163067906976745</v>
      </c>
      <c r="T186" s="1"/>
    </row>
    <row r="187" spans="2:20" ht="13.2" x14ac:dyDescent="0.25">
      <c r="B187" s="18" t="str">
        <f>[2]Base!A187</f>
        <v>MARFRIG</v>
      </c>
      <c r="C187" s="19" t="str">
        <f>[2]Base!C187</f>
        <v>NM</v>
      </c>
      <c r="D187" s="19" t="str">
        <f>[2]Base!EQ187</f>
        <v>Carnes e Derivados</v>
      </c>
      <c r="E187" s="19" t="str">
        <f>[2]Base!M187</f>
        <v>Bradesco BBI</v>
      </c>
      <c r="F187" s="19" t="str">
        <f>[2]Base!F187</f>
        <v>FOLLOW-ON</v>
      </c>
      <c r="G187" s="19" t="str">
        <f>[2]Base!G187</f>
        <v>ICVM 400</v>
      </c>
      <c r="H187" s="20">
        <f>[2]Base!X187</f>
        <v>40128</v>
      </c>
      <c r="I187" s="21">
        <f>[2]Base!W187</f>
        <v>19</v>
      </c>
      <c r="J187" s="22">
        <f>[2]Base!J187</f>
        <v>40129</v>
      </c>
      <c r="K187" s="23">
        <f>[2]Base!BL187</f>
        <v>5</v>
      </c>
      <c r="L187" s="23">
        <f>[2]Base!DZ187</f>
        <v>2644</v>
      </c>
      <c r="M187" s="24">
        <f>[2]Base!AO187</f>
        <v>1501760000</v>
      </c>
      <c r="N187" s="24">
        <f>[2]Base!AP187</f>
        <v>0</v>
      </c>
      <c r="O187" s="25">
        <f>[2]Base!AQ187</f>
        <v>1501760000</v>
      </c>
      <c r="P187" s="26">
        <f>[2]Base!EF187</f>
        <v>1.4612790991902835E-2</v>
      </c>
      <c r="Q187" s="26">
        <f>[2]Base!EH187</f>
        <v>0.26609741902834005</v>
      </c>
      <c r="R187" s="26">
        <f>[2]Base!EJ187</f>
        <v>0.4783132464574899</v>
      </c>
      <c r="S187" s="27">
        <f>[2]Base!EL187</f>
        <v>0.24097654352226722</v>
      </c>
      <c r="T187" s="1"/>
    </row>
    <row r="188" spans="2:20" ht="13.2" x14ac:dyDescent="0.25">
      <c r="B188" s="18" t="str">
        <f>[2]Base!A188</f>
        <v>DIRECIONAL</v>
      </c>
      <c r="C188" s="19" t="str">
        <f>[2]Base!C188</f>
        <v>NM</v>
      </c>
      <c r="D188" s="19" t="str">
        <f>[2]Base!EQ188</f>
        <v>Construção Civil</v>
      </c>
      <c r="E188" s="19" t="str">
        <f>[2]Base!M188</f>
        <v>Santander</v>
      </c>
      <c r="F188" s="19" t="str">
        <f>[2]Base!F188</f>
        <v>IPO</v>
      </c>
      <c r="G188" s="19" t="str">
        <f>[2]Base!G188</f>
        <v>ICVM 400</v>
      </c>
      <c r="H188" s="20">
        <f>[2]Base!X188</f>
        <v>40134</v>
      </c>
      <c r="I188" s="21">
        <f>[2]Base!W188</f>
        <v>10.5</v>
      </c>
      <c r="J188" s="22">
        <f>[2]Base!J188</f>
        <v>40136</v>
      </c>
      <c r="K188" s="23">
        <f>[2]Base!BL188</f>
        <v>588</v>
      </c>
      <c r="L188" s="23">
        <f>[2]Base!DZ188</f>
        <v>661</v>
      </c>
      <c r="M188" s="24">
        <f>[2]Base!AO188</f>
        <v>273999999</v>
      </c>
      <c r="N188" s="24">
        <f>[2]Base!AP188</f>
        <v>0</v>
      </c>
      <c r="O188" s="25">
        <f>[2]Base!AQ188</f>
        <v>273999999</v>
      </c>
      <c r="P188" s="26">
        <f>[2]Base!EF188</f>
        <v>7.4642009396503686E-2</v>
      </c>
      <c r="Q188" s="26">
        <f>[2]Base!EH188</f>
        <v>7.1940903547229582E-2</v>
      </c>
      <c r="R188" s="26">
        <f>[2]Base!EJ188</f>
        <v>0.64310699139820071</v>
      </c>
      <c r="S188" s="27">
        <f>[2]Base!EL188</f>
        <v>0.21031009565806605</v>
      </c>
      <c r="T188" s="1"/>
    </row>
    <row r="189" spans="2:20" ht="13.2" x14ac:dyDescent="0.25">
      <c r="B189" s="18" t="str">
        <f>[2]Base!A189</f>
        <v>ENERGIAS BR</v>
      </c>
      <c r="C189" s="19" t="str">
        <f>[2]Base!C189</f>
        <v>NM</v>
      </c>
      <c r="D189" s="19" t="str">
        <f>[2]Base!EQ189</f>
        <v>Energia Elétrica</v>
      </c>
      <c r="E189" s="19" t="str">
        <f>[2]Base!M189</f>
        <v>Bradesco BBI</v>
      </c>
      <c r="F189" s="19" t="str">
        <f>[2]Base!F189</f>
        <v>FOLLOW-ON</v>
      </c>
      <c r="G189" s="19" t="str">
        <f>[2]Base!G189</f>
        <v>ICVM 400</v>
      </c>
      <c r="H189" s="20">
        <f>[2]Base!X189</f>
        <v>40141</v>
      </c>
      <c r="I189" s="21">
        <f>[2]Base!W189</f>
        <v>28.5</v>
      </c>
      <c r="J189" s="22">
        <f>[2]Base!J189</f>
        <v>40143</v>
      </c>
      <c r="K189" s="23">
        <f>[2]Base!BL189</f>
        <v>1109</v>
      </c>
      <c r="L189" s="23">
        <f>[2]Base!DZ189</f>
        <v>1551</v>
      </c>
      <c r="M189" s="24">
        <f>[2]Base!AO189</f>
        <v>0</v>
      </c>
      <c r="N189" s="24">
        <f>[2]Base!AP189</f>
        <v>441750000</v>
      </c>
      <c r="O189" s="25">
        <f>[2]Base!AQ189</f>
        <v>441750000</v>
      </c>
      <c r="P189" s="26">
        <f>[2]Base!EF189</f>
        <v>9.2037225806451614E-2</v>
      </c>
      <c r="Q189" s="26">
        <f>[2]Base!EH189</f>
        <v>0.32481458064516128</v>
      </c>
      <c r="R189" s="26">
        <f>[2]Base!EJ189</f>
        <v>0.58067290322580645</v>
      </c>
      <c r="S189" s="27">
        <f>[2]Base!EL189</f>
        <v>2.4752903225806451E-3</v>
      </c>
      <c r="T189" s="1"/>
    </row>
    <row r="190" spans="2:20" ht="13.2" x14ac:dyDescent="0.25">
      <c r="B190" s="18" t="str">
        <f>[2]Base!A190</f>
        <v>ANHANGUERA</v>
      </c>
      <c r="C190" s="19" t="str">
        <f>[2]Base!C190</f>
        <v>N2</v>
      </c>
      <c r="D190" s="19" t="str">
        <f>[2]Base!EQ190</f>
        <v>Serviços Educacionais</v>
      </c>
      <c r="E190" s="19" t="str">
        <f>[2]Base!M190</f>
        <v>Itaú BBA</v>
      </c>
      <c r="F190" s="19" t="str">
        <f>[2]Base!F190</f>
        <v>FOLLOW-ON</v>
      </c>
      <c r="G190" s="19" t="str">
        <f>[2]Base!G190</f>
        <v>ICVM 400</v>
      </c>
      <c r="H190" s="20">
        <f>[2]Base!X190</f>
        <v>40155</v>
      </c>
      <c r="I190" s="21">
        <f>[2]Base!W190</f>
        <v>22.5</v>
      </c>
      <c r="J190" s="22">
        <f>[2]Base!J190</f>
        <v>40157</v>
      </c>
      <c r="K190" s="23">
        <f>[2]Base!BL190</f>
        <v>1487</v>
      </c>
      <c r="L190" s="23">
        <f>[2]Base!DZ190</f>
        <v>1924</v>
      </c>
      <c r="M190" s="24">
        <f>[2]Base!AO190</f>
        <v>0</v>
      </c>
      <c r="N190" s="24">
        <f>[2]Base!AP190</f>
        <v>750375000</v>
      </c>
      <c r="O190" s="25">
        <f>[2]Base!AQ190</f>
        <v>750375000</v>
      </c>
      <c r="P190" s="26">
        <f>[2]Base!EF190</f>
        <v>8.5570854572713642E-2</v>
      </c>
      <c r="Q190" s="26">
        <f>[2]Base!EH190</f>
        <v>0.12138284857571215</v>
      </c>
      <c r="R190" s="26">
        <f>[2]Base!EJ190</f>
        <v>0.79038140929535228</v>
      </c>
      <c r="S190" s="27">
        <f>[2]Base!EL190</f>
        <v>2.6648875562218892E-3</v>
      </c>
      <c r="T190" s="1"/>
    </row>
    <row r="191" spans="2:20" ht="13.8" thickBot="1" x14ac:dyDescent="0.3">
      <c r="B191" s="30" t="str">
        <f>[2]Base!A191</f>
        <v>FLEURY</v>
      </c>
      <c r="C191" s="31" t="str">
        <f>[2]Base!C191</f>
        <v>NM</v>
      </c>
      <c r="D191" s="31" t="str">
        <f>[2]Base!EQ191</f>
        <v>Serv. Méd. Hospit., Análises e Diagnósticos</v>
      </c>
      <c r="E191" s="31" t="str">
        <f>[2]Base!M191</f>
        <v>Bradesco BBI</v>
      </c>
      <c r="F191" s="31" t="str">
        <f>[2]Base!F191</f>
        <v>IPO</v>
      </c>
      <c r="G191" s="31" t="str">
        <f>[2]Base!G191</f>
        <v>ICVM 400</v>
      </c>
      <c r="H191" s="32">
        <f>[2]Base!X191</f>
        <v>40162</v>
      </c>
      <c r="I191" s="33">
        <f>[2]Base!W191</f>
        <v>16</v>
      </c>
      <c r="J191" s="34">
        <f>[2]Base!J191</f>
        <v>40164</v>
      </c>
      <c r="K191" s="35">
        <f>[2]Base!BL191</f>
        <v>4631</v>
      </c>
      <c r="L191" s="35">
        <f>[2]Base!DZ191</f>
        <v>5176</v>
      </c>
      <c r="M191" s="36">
        <f>[2]Base!AO191</f>
        <v>630233120</v>
      </c>
      <c r="N191" s="36">
        <f>[2]Base!AP191</f>
        <v>0</v>
      </c>
      <c r="O191" s="37">
        <f>[2]Base!AQ191</f>
        <v>630233120</v>
      </c>
      <c r="P191" s="38">
        <f>[2]Base!EF191</f>
        <v>8.7598442938067109E-2</v>
      </c>
      <c r="Q191" s="38">
        <f>[2]Base!EH191</f>
        <v>0.15645067971039034</v>
      </c>
      <c r="R191" s="38">
        <f>[2]Base!EJ191</f>
        <v>0.75337131123797496</v>
      </c>
      <c r="S191" s="39">
        <f>[2]Base!EL191</f>
        <v>2.5795661135676272E-3</v>
      </c>
      <c r="T191" s="1"/>
    </row>
    <row r="192" spans="2:20" ht="13.8" thickTop="1" x14ac:dyDescent="0.25">
      <c r="B192" s="40" t="str">
        <f>[2]Base!A192</f>
        <v>ALIANSCE</v>
      </c>
      <c r="C192" s="41" t="str">
        <f>[2]Base!C192</f>
        <v>NM</v>
      </c>
      <c r="D192" s="41" t="str">
        <f>[2]Base!EQ192</f>
        <v xml:space="preserve">Exploração de Imóveis </v>
      </c>
      <c r="E192" s="41" t="str">
        <f>[2]Base!M192</f>
        <v>BTG Pactual</v>
      </c>
      <c r="F192" s="41" t="str">
        <f>[2]Base!F192</f>
        <v>IPO</v>
      </c>
      <c r="G192" s="41" t="str">
        <f>[2]Base!G192</f>
        <v>ICVM 400</v>
      </c>
      <c r="H192" s="42">
        <f>[2]Base!X192</f>
        <v>40205</v>
      </c>
      <c r="I192" s="43">
        <f>[2]Base!W192</f>
        <v>9</v>
      </c>
      <c r="J192" s="44">
        <f>[2]Base!J192</f>
        <v>40207</v>
      </c>
      <c r="K192" s="45">
        <f>[2]Base!BL192</f>
        <v>1626</v>
      </c>
      <c r="L192" s="45">
        <f>[2]Base!DZ192</f>
        <v>1892</v>
      </c>
      <c r="M192" s="46">
        <f>[2]Base!AO192</f>
        <v>450000000</v>
      </c>
      <c r="N192" s="46">
        <f>[2]Base!AP192</f>
        <v>193500000</v>
      </c>
      <c r="O192" s="47">
        <f>[2]Base!AQ192</f>
        <v>643500000</v>
      </c>
      <c r="P192" s="48">
        <f>[2]Base!EF192</f>
        <v>6.665237762237762E-2</v>
      </c>
      <c r="Q192" s="48">
        <f>[2]Base!EH192</f>
        <v>0.20004700699300698</v>
      </c>
      <c r="R192" s="48">
        <f>[2]Base!EJ192</f>
        <v>0.73164967832167838</v>
      </c>
      <c r="S192" s="49">
        <f>[2]Base!EL192</f>
        <v>1.650937062937063E-3</v>
      </c>
      <c r="T192" s="1"/>
    </row>
    <row r="193" spans="2:20" ht="13.2" x14ac:dyDescent="0.25">
      <c r="B193" s="18" t="str">
        <f>[2]Base!A193</f>
        <v>INPAR S/A</v>
      </c>
      <c r="C193" s="19" t="str">
        <f>[2]Base!C193</f>
        <v>NM</v>
      </c>
      <c r="D193" s="19" t="str">
        <f>[2]Base!EQ193</f>
        <v xml:space="preserve">Construção Civil </v>
      </c>
      <c r="E193" s="19" t="str">
        <f>[2]Base!M193</f>
        <v>Credit Suisse</v>
      </c>
      <c r="F193" s="19" t="str">
        <f>[2]Base!F193</f>
        <v>FOLLOW-ON</v>
      </c>
      <c r="G193" s="19" t="str">
        <f>[2]Base!G193</f>
        <v>ICVM 400</v>
      </c>
      <c r="H193" s="20">
        <f>[2]Base!X193</f>
        <v>40211</v>
      </c>
      <c r="I193" s="21">
        <f>[2]Base!W193</f>
        <v>3.2</v>
      </c>
      <c r="J193" s="22">
        <f>[2]Base!J193</f>
        <v>40213</v>
      </c>
      <c r="K193" s="23">
        <f>[2]Base!BL193</f>
        <v>1423</v>
      </c>
      <c r="L193" s="23">
        <f>[2]Base!DZ193</f>
        <v>1612</v>
      </c>
      <c r="M193" s="24">
        <f>[2]Base!AO193</f>
        <v>280000000</v>
      </c>
      <c r="N193" s="24">
        <f>[2]Base!AP193</f>
        <v>0</v>
      </c>
      <c r="O193" s="25">
        <f>[2]Base!AQ193</f>
        <v>280000000</v>
      </c>
      <c r="P193" s="26">
        <f>[2]Base!EF193</f>
        <v>6.8151439999999994E-2</v>
      </c>
      <c r="Q193" s="26">
        <f>[2]Base!EH193</f>
        <v>0.24533228571428572</v>
      </c>
      <c r="R193" s="26">
        <f>[2]Base!EJ193</f>
        <v>0.68484573714285712</v>
      </c>
      <c r="S193" s="27">
        <f>[2]Base!EL193</f>
        <v>1.6705371428571429E-3</v>
      </c>
      <c r="T193" s="1"/>
    </row>
    <row r="194" spans="2:20" ht="13.2" x14ac:dyDescent="0.25">
      <c r="B194" s="18" t="str">
        <f>[2]Base!A194</f>
        <v>MULTIPLUS</v>
      </c>
      <c r="C194" s="19" t="str">
        <f>[2]Base!C194</f>
        <v>NM</v>
      </c>
      <c r="D194" s="19" t="str">
        <f>[2]Base!EQ194</f>
        <v xml:space="preserve">Programas de Fidelização </v>
      </c>
      <c r="E194" s="19" t="str">
        <f>[2]Base!M194</f>
        <v>BTG Pactual</v>
      </c>
      <c r="F194" s="19" t="str">
        <f>[2]Base!F194</f>
        <v>IPO</v>
      </c>
      <c r="G194" s="19" t="str">
        <f>[2]Base!G194</f>
        <v>ICVM 400</v>
      </c>
      <c r="H194" s="20">
        <f>[2]Base!X194</f>
        <v>40212</v>
      </c>
      <c r="I194" s="21">
        <f>[2]Base!W194</f>
        <v>16</v>
      </c>
      <c r="J194" s="22">
        <f>[2]Base!J194</f>
        <v>40214</v>
      </c>
      <c r="K194" s="23">
        <f>[2]Base!BL194</f>
        <v>1167</v>
      </c>
      <c r="L194" s="23">
        <f>[2]Base!DZ194</f>
        <v>1388</v>
      </c>
      <c r="M194" s="24">
        <f>[2]Base!AO194</f>
        <v>692384000</v>
      </c>
      <c r="N194" s="24">
        <f>[2]Base!AP194</f>
        <v>0</v>
      </c>
      <c r="O194" s="25">
        <f>[2]Base!AQ194</f>
        <v>692384000</v>
      </c>
      <c r="P194" s="26">
        <f>[2]Base!EF194</f>
        <v>4.1318204926745851E-2</v>
      </c>
      <c r="Q194" s="26">
        <f>[2]Base!EH194</f>
        <v>2.7142626057216806E-3</v>
      </c>
      <c r="R194" s="26">
        <f>[2]Base!EJ194</f>
        <v>0.82120152978693906</v>
      </c>
      <c r="S194" s="27">
        <f>[2]Base!EL194</f>
        <v>0.13476600268059344</v>
      </c>
      <c r="T194" s="1"/>
    </row>
    <row r="195" spans="2:20" ht="13.2" x14ac:dyDescent="0.25">
      <c r="B195" s="18" t="str">
        <f>[2]Base!A195</f>
        <v>PDG REALT</v>
      </c>
      <c r="C195" s="19" t="str">
        <f>[2]Base!C195</f>
        <v>NM</v>
      </c>
      <c r="D195" s="19" t="str">
        <f>[2]Base!EQ195</f>
        <v>Construção Civil</v>
      </c>
      <c r="E195" s="19" t="str">
        <f>[2]Base!M195</f>
        <v>Credit Suisse</v>
      </c>
      <c r="F195" s="19" t="str">
        <f>[2]Base!F195</f>
        <v>FOLLOW-ON</v>
      </c>
      <c r="G195" s="19" t="str">
        <f>[2]Base!G195</f>
        <v>ICVM 400</v>
      </c>
      <c r="H195" s="20">
        <f>[2]Base!X195</f>
        <v>40213</v>
      </c>
      <c r="I195" s="21">
        <f>[2]Base!W195</f>
        <v>14.5</v>
      </c>
      <c r="J195" s="22">
        <f>[2]Base!J195</f>
        <v>40217</v>
      </c>
      <c r="K195" s="23">
        <f>[2]Base!BL195</f>
        <v>2802</v>
      </c>
      <c r="L195" s="23">
        <f>[2]Base!DZ195</f>
        <v>3491</v>
      </c>
      <c r="M195" s="24">
        <f>[2]Base!AO195</f>
        <v>0</v>
      </c>
      <c r="N195" s="24">
        <f>[2]Base!AP195</f>
        <v>1618891461.5</v>
      </c>
      <c r="O195" s="25">
        <f>[2]Base!AQ195</f>
        <v>1618891461.5</v>
      </c>
      <c r="P195" s="26">
        <f>[2]Base!EF195</f>
        <v>9.7183052256156463E-2</v>
      </c>
      <c r="Q195" s="26">
        <f>[2]Base!EH195</f>
        <v>0.43246845767615411</v>
      </c>
      <c r="R195" s="26">
        <f>[2]Base!EJ195</f>
        <v>0.46770936687653908</v>
      </c>
      <c r="S195" s="27">
        <f>[2]Base!EL195</f>
        <v>2.6391231911503908E-3</v>
      </c>
      <c r="T195" s="1"/>
    </row>
    <row r="196" spans="2:20" ht="13.2" x14ac:dyDescent="0.25">
      <c r="B196" s="18" t="str">
        <f>[2]Base!A196</f>
        <v>BR PROPERT</v>
      </c>
      <c r="C196" s="19" t="str">
        <f>[2]Base!C196</f>
        <v>NM</v>
      </c>
      <c r="D196" s="19" t="str">
        <f>[2]Base!EQ196</f>
        <v>Exploração de Imóveis</v>
      </c>
      <c r="E196" s="19" t="str">
        <f>[2]Base!M196</f>
        <v>Itaú BBA</v>
      </c>
      <c r="F196" s="19" t="str">
        <f>[2]Base!F196</f>
        <v>IPO</v>
      </c>
      <c r="G196" s="19" t="str">
        <f>[2]Base!G196</f>
        <v>ICVM 400</v>
      </c>
      <c r="H196" s="20">
        <f>[2]Base!X196</f>
        <v>40241</v>
      </c>
      <c r="I196" s="21">
        <f>[2]Base!W196</f>
        <v>13</v>
      </c>
      <c r="J196" s="22">
        <f>[2]Base!J196</f>
        <v>40245</v>
      </c>
      <c r="K196" s="23">
        <f>[2]Base!BL196</f>
        <v>1451</v>
      </c>
      <c r="L196" s="23">
        <f>[2]Base!DZ196</f>
        <v>1831</v>
      </c>
      <c r="M196" s="24">
        <f>[2]Base!AO196</f>
        <v>747500000</v>
      </c>
      <c r="N196" s="24">
        <f>[2]Base!AP196</f>
        <v>186888000</v>
      </c>
      <c r="O196" s="25">
        <f>[2]Base!AQ196</f>
        <v>934388000</v>
      </c>
      <c r="P196" s="26">
        <f>[2]Base!EF196</f>
        <v>4.2736845238634497E-2</v>
      </c>
      <c r="Q196" s="26">
        <f>[2]Base!EH196</f>
        <v>0.28556674479432925</v>
      </c>
      <c r="R196" s="26">
        <f>[2]Base!EJ196</f>
        <v>0.6514811684723173</v>
      </c>
      <c r="S196" s="27">
        <f>[2]Base!EL196</f>
        <v>2.0215241494718941E-2</v>
      </c>
      <c r="T196" s="1"/>
    </row>
    <row r="197" spans="2:20" ht="13.2" x14ac:dyDescent="0.25">
      <c r="B197" s="18" t="str">
        <f>[2]Base!A197</f>
        <v xml:space="preserve">OSX BRASIL </v>
      </c>
      <c r="C197" s="19" t="str">
        <f>[2]Base!C197</f>
        <v>NM</v>
      </c>
      <c r="D197" s="19" t="str">
        <f>[2]Base!EQ197</f>
        <v>Máquinas e Equipamentos</v>
      </c>
      <c r="E197" s="19" t="str">
        <f>[2]Base!M197</f>
        <v>Credit Suisse</v>
      </c>
      <c r="F197" s="19" t="str">
        <f>[2]Base!F197</f>
        <v>IPO</v>
      </c>
      <c r="G197" s="19" t="str">
        <f>[2]Base!G197</f>
        <v>ICVM 400</v>
      </c>
      <c r="H197" s="20">
        <f>[2]Base!X197</f>
        <v>40255</v>
      </c>
      <c r="I197" s="21">
        <f>[2]Base!W197</f>
        <v>800</v>
      </c>
      <c r="J197" s="22">
        <f>[2]Base!J197</f>
        <v>40259</v>
      </c>
      <c r="K197" s="23">
        <f>[2]Base!BL197</f>
        <v>30</v>
      </c>
      <c r="L197" s="23">
        <f>[2]Base!DZ197</f>
        <v>184</v>
      </c>
      <c r="M197" s="24">
        <f>[2]Base!AO197</f>
        <v>2450400000</v>
      </c>
      <c r="N197" s="24">
        <f>[2]Base!AP197</f>
        <v>0</v>
      </c>
      <c r="O197" s="25">
        <f>[2]Base!AQ197</f>
        <v>2450400000</v>
      </c>
      <c r="P197" s="26">
        <f>[2]Base!EF197</f>
        <v>1.1753183153770812E-2</v>
      </c>
      <c r="Q197" s="26">
        <f>[2]Base!EH197</f>
        <v>1.8137943760734715E-2</v>
      </c>
      <c r="R197" s="26">
        <f>[2]Base!EJ197</f>
        <v>0.69346903433689622</v>
      </c>
      <c r="S197" s="27">
        <f>[2]Base!EL197</f>
        <v>0.27663983874859827</v>
      </c>
      <c r="T197" s="1"/>
    </row>
    <row r="198" spans="2:20" ht="13.2" x14ac:dyDescent="0.25">
      <c r="B198" s="18" t="str">
        <f>[2]Base!A198</f>
        <v>GAFISA ¹</v>
      </c>
      <c r="C198" s="19" t="str">
        <f>[2]Base!C198</f>
        <v>NM</v>
      </c>
      <c r="D198" s="19" t="str">
        <f>[2]Base!EQ198</f>
        <v>Construção Civil</v>
      </c>
      <c r="E198" s="19" t="str">
        <f>[2]Base!M198</f>
        <v>Itaú BBA</v>
      </c>
      <c r="F198" s="19" t="str">
        <f>[2]Base!F198</f>
        <v>FOLLOW-ON</v>
      </c>
      <c r="G198" s="19" t="str">
        <f>[2]Base!G198</f>
        <v>ICVM 400</v>
      </c>
      <c r="H198" s="20">
        <f>[2]Base!X198</f>
        <v>40260</v>
      </c>
      <c r="I198" s="21">
        <f>[2]Base!W198</f>
        <v>12.5</v>
      </c>
      <c r="J198" s="22">
        <f>[2]Base!J198</f>
        <v>40262</v>
      </c>
      <c r="K198" s="23">
        <f>[2]Base!BL198</f>
        <v>2488</v>
      </c>
      <c r="L198" s="23">
        <f>[2]Base!DZ198</f>
        <v>2910</v>
      </c>
      <c r="M198" s="24">
        <f>[2]Base!AO198</f>
        <v>1063750000</v>
      </c>
      <c r="N198" s="24">
        <f>[2]Base!AP198</f>
        <v>0</v>
      </c>
      <c r="O198" s="25">
        <f>[2]Base!AQ198</f>
        <v>1063750000</v>
      </c>
      <c r="P198" s="26">
        <f>[2]Base!EF198</f>
        <v>6.2444923619271446E-2</v>
      </c>
      <c r="Q198" s="26">
        <f>[2]Base!EH198</f>
        <v>0.31804683901292596</v>
      </c>
      <c r="R198" s="26">
        <f>[2]Base!EJ198</f>
        <v>0.61794923619271447</v>
      </c>
      <c r="S198" s="27">
        <f>[2]Base!EL198</f>
        <v>1.5590011750881317E-3</v>
      </c>
      <c r="T198" s="1"/>
    </row>
    <row r="199" spans="2:20" ht="13.2" x14ac:dyDescent="0.25">
      <c r="B199" s="18" t="str">
        <f>[2]Base!A199</f>
        <v>ECORODOVIAS</v>
      </c>
      <c r="C199" s="19" t="str">
        <f>[2]Base!C199</f>
        <v>NM</v>
      </c>
      <c r="D199" s="19" t="str">
        <f>[2]Base!EQ199</f>
        <v>Exploração de Rodovias</v>
      </c>
      <c r="E199" s="19" t="str">
        <f>[2]Base!M199</f>
        <v>Itaú BBA</v>
      </c>
      <c r="F199" s="19" t="str">
        <f>[2]Base!F199</f>
        <v>IPO</v>
      </c>
      <c r="G199" s="19" t="str">
        <f>[2]Base!G199</f>
        <v>ICVM 400</v>
      </c>
      <c r="H199" s="20">
        <f>[2]Base!X199</f>
        <v>40267</v>
      </c>
      <c r="I199" s="21">
        <f>[2]Base!W199</f>
        <v>9.5</v>
      </c>
      <c r="J199" s="22">
        <f>[2]Base!J199</f>
        <v>40269</v>
      </c>
      <c r="K199" s="23">
        <f>[2]Base!BL199</f>
        <v>1982</v>
      </c>
      <c r="L199" s="23">
        <f>[2]Base!DZ199</f>
        <v>2647</v>
      </c>
      <c r="M199" s="24">
        <f>[2]Base!AO199</f>
        <v>874000000</v>
      </c>
      <c r="N199" s="24">
        <f>[2]Base!AP199</f>
        <v>494028500</v>
      </c>
      <c r="O199" s="25">
        <f>[2]Base!AQ199</f>
        <v>1368028500</v>
      </c>
      <c r="P199" s="26">
        <f>[2]Base!EF199</f>
        <v>4.7046790691860588E-2</v>
      </c>
      <c r="Q199" s="26">
        <f>[2]Base!EH199</f>
        <v>0.29249494107761642</v>
      </c>
      <c r="R199" s="26">
        <f>[2]Base!EJ199</f>
        <v>0.51137191586286401</v>
      </c>
      <c r="S199" s="27">
        <f>[2]Base!EL199</f>
        <v>0.14908635236765902</v>
      </c>
      <c r="T199" s="1"/>
    </row>
    <row r="200" spans="2:20" ht="13.2" x14ac:dyDescent="0.25">
      <c r="B200" s="18" t="str">
        <f>[2]Base!A200</f>
        <v>HYPERMARCAS</v>
      </c>
      <c r="C200" s="19" t="str">
        <f>[2]Base!C200</f>
        <v>NM</v>
      </c>
      <c r="D200" s="19" t="str">
        <f>[2]Base!EQ200</f>
        <v>Produtos Diversos</v>
      </c>
      <c r="E200" s="19" t="str">
        <f>[2]Base!M200</f>
        <v>Citi</v>
      </c>
      <c r="F200" s="19" t="str">
        <f>[2]Base!F200</f>
        <v>FOLLOW-ON</v>
      </c>
      <c r="G200" s="19" t="str">
        <f>[2]Base!G200</f>
        <v>ICVM 400</v>
      </c>
      <c r="H200" s="20">
        <f>[2]Base!X200</f>
        <v>40268</v>
      </c>
      <c r="I200" s="21">
        <f>[2]Base!W200</f>
        <v>21</v>
      </c>
      <c r="J200" s="22">
        <f>[2]Base!J200</f>
        <v>40273</v>
      </c>
      <c r="K200" s="23">
        <f>[2]Base!BL200</f>
        <v>2697</v>
      </c>
      <c r="L200" s="23">
        <f>[2]Base!DZ200</f>
        <v>3616</v>
      </c>
      <c r="M200" s="24">
        <f>[2]Base!AO200</f>
        <v>1232616000</v>
      </c>
      <c r="N200" s="24">
        <f>[2]Base!AP200</f>
        <v>0</v>
      </c>
      <c r="O200" s="25">
        <f>[2]Base!AQ200</f>
        <v>1232616000</v>
      </c>
      <c r="P200" s="26">
        <f>[2]Base!EF200</f>
        <v>7.7514992503748131E-2</v>
      </c>
      <c r="Q200" s="26">
        <f>[2]Base!EH200</f>
        <v>0.20446035504974786</v>
      </c>
      <c r="R200" s="26">
        <f>[2]Base!EJ200</f>
        <v>0.71584234019353954</v>
      </c>
      <c r="S200" s="27">
        <f>[2]Base!EL200</f>
        <v>2.1823122529644268E-3</v>
      </c>
      <c r="T200" s="1"/>
    </row>
    <row r="201" spans="2:20" ht="13.2" x14ac:dyDescent="0.25">
      <c r="B201" s="18" t="str">
        <f>[2]Base!A201</f>
        <v>MILLS</v>
      </c>
      <c r="C201" s="19" t="str">
        <f>[2]Base!C201</f>
        <v>NM</v>
      </c>
      <c r="D201" s="19" t="str">
        <f>[2]Base!EQ201</f>
        <v>Serviços Diversos</v>
      </c>
      <c r="E201" s="19" t="str">
        <f>[2]Base!M201</f>
        <v>Itaú BBA</v>
      </c>
      <c r="F201" s="19" t="str">
        <f>[2]Base!F201</f>
        <v>IPO</v>
      </c>
      <c r="G201" s="19" t="str">
        <f>[2]Base!G201</f>
        <v>ICVM 400</v>
      </c>
      <c r="H201" s="20">
        <f>[2]Base!X201</f>
        <v>40282</v>
      </c>
      <c r="I201" s="21">
        <f>[2]Base!W201</f>
        <v>11.5</v>
      </c>
      <c r="J201" s="22">
        <f>[2]Base!J201</f>
        <v>40284</v>
      </c>
      <c r="K201" s="23">
        <f>[2]Base!BL201</f>
        <v>1086</v>
      </c>
      <c r="L201" s="23">
        <f>[2]Base!DZ201</f>
        <v>1358</v>
      </c>
      <c r="M201" s="24">
        <f>[2]Base!AO201</f>
        <v>425925925.5</v>
      </c>
      <c r="N201" s="24">
        <f>[2]Base!AP201</f>
        <v>259814808</v>
      </c>
      <c r="O201" s="25">
        <f>[2]Base!AQ201</f>
        <v>685740733.5</v>
      </c>
      <c r="P201" s="26">
        <f>[2]Base!EF201</f>
        <v>3.2080729531287204E-2</v>
      </c>
      <c r="Q201" s="26">
        <f>[2]Base!EH201</f>
        <v>0.15486718859176535</v>
      </c>
      <c r="R201" s="26">
        <f>[2]Base!EJ201</f>
        <v>0.77255307089031189</v>
      </c>
      <c r="S201" s="27">
        <f>[2]Base!EL201</f>
        <v>4.0499010986635518E-2</v>
      </c>
      <c r="T201" s="1"/>
    </row>
    <row r="202" spans="2:20" ht="13.2" x14ac:dyDescent="0.25">
      <c r="B202" s="18" t="str">
        <f>[2]Base!A202</f>
        <v>EVEN</v>
      </c>
      <c r="C202" s="19" t="str">
        <f>[2]Base!C202</f>
        <v>NM</v>
      </c>
      <c r="D202" s="19" t="str">
        <f>[2]Base!EQ202</f>
        <v>Construção Civil</v>
      </c>
      <c r="E202" s="19" t="str">
        <f>[2]Base!M202</f>
        <v>Itaú BBA</v>
      </c>
      <c r="F202" s="19" t="str">
        <f>[2]Base!F202</f>
        <v>FOLLOW-ON</v>
      </c>
      <c r="G202" s="19" t="str">
        <f>[2]Base!G202</f>
        <v>ICVM 400</v>
      </c>
      <c r="H202" s="20">
        <f>[2]Base!X202</f>
        <v>40283</v>
      </c>
      <c r="I202" s="21">
        <f>[2]Base!W202</f>
        <v>6</v>
      </c>
      <c r="J202" s="22">
        <f>[2]Base!J202</f>
        <v>40287</v>
      </c>
      <c r="K202" s="23">
        <f>[2]Base!BL202</f>
        <v>2156</v>
      </c>
      <c r="L202" s="23">
        <f>[2]Base!DZ202</f>
        <v>2515</v>
      </c>
      <c r="M202" s="24">
        <f>[2]Base!AO202</f>
        <v>326000004</v>
      </c>
      <c r="N202" s="24">
        <f>[2]Base!AP202</f>
        <v>180000000</v>
      </c>
      <c r="O202" s="25">
        <f>[2]Base!AQ202</f>
        <v>506000004</v>
      </c>
      <c r="P202" s="26">
        <f>[2]Base!EF202</f>
        <v>9.9583350991435962E-2</v>
      </c>
      <c r="Q202" s="26">
        <f>[2]Base!EH202</f>
        <v>0.33255331752922279</v>
      </c>
      <c r="R202" s="26">
        <f>[2]Base!EJ202</f>
        <v>0.46544233624156256</v>
      </c>
      <c r="S202" s="27">
        <f>[2]Base!EL202</f>
        <v>0.1024209952377787</v>
      </c>
      <c r="T202" s="1"/>
    </row>
    <row r="203" spans="2:20" ht="13.2" x14ac:dyDescent="0.25">
      <c r="B203" s="18" t="str">
        <f>[2]Base!A203</f>
        <v>JULIO SIMOES</v>
      </c>
      <c r="C203" s="19" t="str">
        <f>[2]Base!C203</f>
        <v>NM</v>
      </c>
      <c r="D203" s="19" t="str">
        <f>[2]Base!EQ203</f>
        <v>Transporte Rodoviário</v>
      </c>
      <c r="E203" s="19" t="str">
        <f>[2]Base!M203</f>
        <v>Bradesco BBI</v>
      </c>
      <c r="F203" s="19" t="str">
        <f>[2]Base!F203</f>
        <v>IPO</v>
      </c>
      <c r="G203" s="19" t="str">
        <f>[2]Base!G203</f>
        <v>ICVM 400</v>
      </c>
      <c r="H203" s="20">
        <f>[2]Base!X203</f>
        <v>40287</v>
      </c>
      <c r="I203" s="21">
        <f>[2]Base!W203</f>
        <v>8</v>
      </c>
      <c r="J203" s="22">
        <f>[2]Base!J203</f>
        <v>40290</v>
      </c>
      <c r="K203" s="23">
        <f>[2]Base!BL203</f>
        <v>726</v>
      </c>
      <c r="L203" s="23">
        <f>[2]Base!DZ203</f>
        <v>989</v>
      </c>
      <c r="M203" s="24">
        <f>[2]Base!AO203</f>
        <v>477902824</v>
      </c>
      <c r="N203" s="24">
        <f>[2]Base!AP203</f>
        <v>0</v>
      </c>
      <c r="O203" s="25">
        <f>[2]Base!AQ203</f>
        <v>477902824</v>
      </c>
      <c r="P203" s="26">
        <f>[2]Base!EF203</f>
        <v>3.2331535244154344E-2</v>
      </c>
      <c r="Q203" s="26">
        <f>[2]Base!EH203</f>
        <v>0.15242885372498341</v>
      </c>
      <c r="R203" s="26">
        <f>[2]Base!EJ203</f>
        <v>0.64773563340949902</v>
      </c>
      <c r="S203" s="27">
        <f>[2]Base!EL203</f>
        <v>0.16750397762136326</v>
      </c>
      <c r="T203" s="1"/>
    </row>
    <row r="204" spans="2:20" ht="13.2" x14ac:dyDescent="0.25">
      <c r="B204" s="18" t="str">
        <f>[2]Base!A204</f>
        <v>JBS</v>
      </c>
      <c r="C204" s="19" t="str">
        <f>[2]Base!C204</f>
        <v>NM</v>
      </c>
      <c r="D204" s="19" t="str">
        <f>[2]Base!EQ204</f>
        <v>Carnes e Derivados</v>
      </c>
      <c r="E204" s="19" t="str">
        <f>[2]Base!M204</f>
        <v>BTG Pactual</v>
      </c>
      <c r="F204" s="19" t="str">
        <f>[2]Base!F204</f>
        <v>FOLLOW-ON</v>
      </c>
      <c r="G204" s="19" t="str">
        <f>[2]Base!G204</f>
        <v>ICVM 400</v>
      </c>
      <c r="H204" s="20">
        <f>[2]Base!X204</f>
        <v>40295</v>
      </c>
      <c r="I204" s="21">
        <f>[2]Base!W204</f>
        <v>8</v>
      </c>
      <c r="J204" s="22">
        <f>[2]Base!J204</f>
        <v>40297</v>
      </c>
      <c r="K204" s="23">
        <f>[2]Base!BL204</f>
        <v>3378</v>
      </c>
      <c r="L204" s="23">
        <f>[2]Base!DZ204</f>
        <v>4070</v>
      </c>
      <c r="M204" s="24">
        <f>[2]Base!AO204</f>
        <v>1600000000</v>
      </c>
      <c r="N204" s="24">
        <f>[2]Base!AP204</f>
        <v>0</v>
      </c>
      <c r="O204" s="25">
        <f>[2]Base!AQ204</f>
        <v>1600000000</v>
      </c>
      <c r="P204" s="26">
        <f>[2]Base!EF204</f>
        <v>8.9639201493206824E-2</v>
      </c>
      <c r="Q204" s="26">
        <f>[2]Base!EH204</f>
        <v>0.56390888024805086</v>
      </c>
      <c r="R204" s="26">
        <f>[2]Base!EJ204</f>
        <v>0.33928502001080957</v>
      </c>
      <c r="S204" s="27">
        <f>[2]Base!EL204</f>
        <v>7.166898247932727E-3</v>
      </c>
      <c r="T204" s="1"/>
    </row>
    <row r="205" spans="2:20" ht="13.2" x14ac:dyDescent="0.25">
      <c r="B205" s="18" t="str">
        <f>[2]Base!A205</f>
        <v>BRASIL</v>
      </c>
      <c r="C205" s="19" t="str">
        <f>[2]Base!C205</f>
        <v>NM</v>
      </c>
      <c r="D205" s="19" t="str">
        <f>[2]Base!EQ205</f>
        <v>Bancos</v>
      </c>
      <c r="E205" s="19" t="str">
        <f>[2]Base!M205</f>
        <v>BB Investimentos</v>
      </c>
      <c r="F205" s="19" t="str">
        <f>[2]Base!F205</f>
        <v>FOLLOW-ON</v>
      </c>
      <c r="G205" s="19" t="str">
        <f>[2]Base!G205</f>
        <v>ICVM 400</v>
      </c>
      <c r="H205" s="20">
        <f>[2]Base!X205</f>
        <v>40359</v>
      </c>
      <c r="I205" s="21">
        <f>[2]Base!W205</f>
        <v>24.65</v>
      </c>
      <c r="J205" s="22">
        <f>[2]Base!J205</f>
        <v>40361</v>
      </c>
      <c r="K205" s="23">
        <f>[2]Base!BL205</f>
        <v>103471</v>
      </c>
      <c r="L205" s="23">
        <f>[2]Base!DZ205</f>
        <v>113502</v>
      </c>
      <c r="M205" s="24">
        <f>[2]Base!AO205</f>
        <v>7049900000</v>
      </c>
      <c r="N205" s="24">
        <f>[2]Base!AP205</f>
        <v>2711500000</v>
      </c>
      <c r="O205" s="25">
        <f>[2]Base!AQ205</f>
        <v>9761400000</v>
      </c>
      <c r="P205" s="26">
        <f>[2]Base!EF205</f>
        <v>0.15932670707070706</v>
      </c>
      <c r="Q205" s="26">
        <f>[2]Base!EH205</f>
        <v>0.43090268686868688</v>
      </c>
      <c r="R205" s="26">
        <f>[2]Base!EJ205</f>
        <v>0.3896108611111111</v>
      </c>
      <c r="S205" s="27">
        <f>[2]Base!EL205</f>
        <v>2.0159744949494948E-2</v>
      </c>
      <c r="T205" s="1"/>
    </row>
    <row r="206" spans="2:20" ht="13.2" x14ac:dyDescent="0.25">
      <c r="B206" s="18" t="str">
        <f>[2]Base!A206</f>
        <v>RENOVA</v>
      </c>
      <c r="C206" s="19" t="str">
        <f>[2]Base!C206</f>
        <v>N2</v>
      </c>
      <c r="D206" s="19" t="str">
        <f>[2]Base!EQ206</f>
        <v>Energia Elétrica</v>
      </c>
      <c r="E206" s="19" t="str">
        <f>[2]Base!M206</f>
        <v>Santander</v>
      </c>
      <c r="F206" s="19" t="str">
        <f>[2]Base!F206</f>
        <v>IPO</v>
      </c>
      <c r="G206" s="19" t="str">
        <f>[2]Base!G206</f>
        <v>ICVM 400</v>
      </c>
      <c r="H206" s="20">
        <f>[2]Base!X206</f>
        <v>40367</v>
      </c>
      <c r="I206" s="21">
        <f>[2]Base!W206</f>
        <v>15</v>
      </c>
      <c r="J206" s="22">
        <f>[2]Base!J206</f>
        <v>40372</v>
      </c>
      <c r="K206" s="23">
        <f>[2]Base!BL206</f>
        <v>579</v>
      </c>
      <c r="L206" s="23">
        <f>[2]Base!DZ206</f>
        <v>619</v>
      </c>
      <c r="M206" s="24">
        <f>[2]Base!AO206</f>
        <v>160707000</v>
      </c>
      <c r="N206" s="24">
        <f>[2]Base!AP206</f>
        <v>0</v>
      </c>
      <c r="O206" s="25">
        <f>[2]Base!AQ206</f>
        <v>160707000</v>
      </c>
      <c r="P206" s="26">
        <f>[2]Base!EF206</f>
        <v>9.0320508230167268E-2</v>
      </c>
      <c r="Q206" s="26">
        <f>[2]Base!EH206</f>
        <v>0</v>
      </c>
      <c r="R206" s="26">
        <f>[2]Base!EJ206</f>
        <v>1.6353938396981748E-2</v>
      </c>
      <c r="S206" s="27">
        <f>[2]Base!EL206</f>
        <v>0.89332555337285102</v>
      </c>
      <c r="T206" s="1"/>
    </row>
    <row r="207" spans="2:20" ht="13.2" x14ac:dyDescent="0.25">
      <c r="B207" s="18" t="str">
        <f>[2]Base!A207</f>
        <v>PETROBRAS</v>
      </c>
      <c r="C207" s="19" t="str">
        <f>[2]Base!C207</f>
        <v>BÁSICO</v>
      </c>
      <c r="D207" s="19" t="str">
        <f>[2]Base!EQ207</f>
        <v xml:space="preserve">Exploração e/ou Refino </v>
      </c>
      <c r="E207" s="19" t="str">
        <f>[2]Base!M207</f>
        <v>Bradesco BBI</v>
      </c>
      <c r="F207" s="19" t="str">
        <f>[2]Base!F207</f>
        <v>FOLLOW-ON</v>
      </c>
      <c r="G207" s="19" t="str">
        <f>[2]Base!G207</f>
        <v>ICVM 400</v>
      </c>
      <c r="H207" s="20">
        <f>[2]Base!X207</f>
        <v>40444</v>
      </c>
      <c r="I207" s="21">
        <f>[2]Base!W207</f>
        <v>28.158484041426377</v>
      </c>
      <c r="J207" s="22">
        <f>[2]Base!J207</f>
        <v>40448</v>
      </c>
      <c r="K207" s="23">
        <f>[2]Base!BL207</f>
        <v>104109</v>
      </c>
      <c r="L207" s="23">
        <f>[2]Base!DZ207</f>
        <v>112827</v>
      </c>
      <c r="M207" s="24">
        <f>[2]Base!AO207</f>
        <v>120248558770.3</v>
      </c>
      <c r="N207" s="24">
        <f>[2]Base!AP207</f>
        <v>0</v>
      </c>
      <c r="O207" s="25">
        <f>[2]Base!AQ207</f>
        <v>120248558770.3</v>
      </c>
      <c r="P207" s="26">
        <f>[2]Base!EF207</f>
        <v>3.2863317602476953E-2</v>
      </c>
      <c r="Q207" s="26">
        <f>[2]Base!EH207</f>
        <v>0.10250494062037488</v>
      </c>
      <c r="R207" s="26">
        <f>[2]Base!EJ207</f>
        <v>0.20213876330516317</v>
      </c>
      <c r="S207" s="27">
        <f>[2]Base!EL207</f>
        <v>0.66249297847198485</v>
      </c>
      <c r="T207" s="1"/>
    </row>
    <row r="208" spans="2:20" ht="13.2" x14ac:dyDescent="0.25">
      <c r="B208" s="18" t="str">
        <f>[2]Base!A208</f>
        <v>ESTACIO PART</v>
      </c>
      <c r="C208" s="19" t="str">
        <f>[2]Base!C208</f>
        <v>NM</v>
      </c>
      <c r="D208" s="19" t="str">
        <f>[2]Base!EQ208</f>
        <v>Serviços Educacionais</v>
      </c>
      <c r="E208" s="19" t="str">
        <f>[2]Base!M208</f>
        <v>BTG Pactual</v>
      </c>
      <c r="F208" s="19" t="str">
        <f>[2]Base!F208</f>
        <v>FOLLOW-ON</v>
      </c>
      <c r="G208" s="19" t="str">
        <f>[2]Base!G208</f>
        <v>ICVM 400</v>
      </c>
      <c r="H208" s="20">
        <f>[2]Base!X208</f>
        <v>40451</v>
      </c>
      <c r="I208" s="21">
        <f>[2]Base!W208</f>
        <v>19</v>
      </c>
      <c r="J208" s="22">
        <f>[2]Base!J208</f>
        <v>40455</v>
      </c>
      <c r="K208" s="23">
        <f>[2]Base!BL208</f>
        <v>1173</v>
      </c>
      <c r="L208" s="23">
        <f>[2]Base!DZ208</f>
        <v>1701</v>
      </c>
      <c r="M208" s="24">
        <f>[2]Base!AO208</f>
        <v>62326156</v>
      </c>
      <c r="N208" s="24">
        <f>[2]Base!AP208</f>
        <v>623261560</v>
      </c>
      <c r="O208" s="25">
        <f>[2]Base!AQ208</f>
        <v>685587716</v>
      </c>
      <c r="P208" s="26">
        <f>[2]Base!EF208</f>
        <v>8.9730049947394336E-2</v>
      </c>
      <c r="Q208" s="26">
        <f>[2]Base!EH208</f>
        <v>0.20560347087665731</v>
      </c>
      <c r="R208" s="26">
        <f>[2]Base!EJ208</f>
        <v>0.70320609128300071</v>
      </c>
      <c r="S208" s="27">
        <f>[2]Base!EL208</f>
        <v>1.4603878929476035E-3</v>
      </c>
      <c r="T208" s="1"/>
    </row>
    <row r="209" spans="2:20" ht="13.2" x14ac:dyDescent="0.25">
      <c r="B209" s="18" t="str">
        <f>[2]Base!A209</f>
        <v>HRT PETROLEO</v>
      </c>
      <c r="C209" s="19" t="str">
        <f>[2]Base!C209</f>
        <v>NM</v>
      </c>
      <c r="D209" s="19" t="str">
        <f>[2]Base!EQ209</f>
        <v xml:space="preserve">Exploração e/ou Refino </v>
      </c>
      <c r="E209" s="19" t="str">
        <f>[2]Base!M209</f>
        <v>Credit Suisse</v>
      </c>
      <c r="F209" s="19" t="str">
        <f>[2]Base!F209</f>
        <v>IPO</v>
      </c>
      <c r="G209" s="19" t="str">
        <f>[2]Base!G209</f>
        <v>ICVM 400</v>
      </c>
      <c r="H209" s="20">
        <f>[2]Base!X209</f>
        <v>40472</v>
      </c>
      <c r="I209" s="21">
        <f>[2]Base!W209</f>
        <v>1200</v>
      </c>
      <c r="J209" s="22">
        <f>[2]Base!J209</f>
        <v>40476</v>
      </c>
      <c r="K209" s="23">
        <f>[2]Base!BL209</f>
        <v>127</v>
      </c>
      <c r="L209" s="23">
        <f>[2]Base!DZ209</f>
        <v>646</v>
      </c>
      <c r="M209" s="24">
        <f>[2]Base!AO209</f>
        <v>2474746800</v>
      </c>
      <c r="N209" s="24">
        <f>[2]Base!AP209</f>
        <v>6253200</v>
      </c>
      <c r="O209" s="25">
        <f>[2]Base!AQ209</f>
        <v>2481000000</v>
      </c>
      <c r="P209" s="26">
        <f>[2]Base!EF209</f>
        <v>2.0300411522633746E-2</v>
      </c>
      <c r="Q209" s="26">
        <f>[2]Base!EH209</f>
        <v>0.12973159579332419</v>
      </c>
      <c r="R209" s="26">
        <f>[2]Base!EJ209</f>
        <v>0.84932784636488345</v>
      </c>
      <c r="S209" s="27">
        <f>[2]Base!EL209</f>
        <v>6.4014631915866485E-4</v>
      </c>
      <c r="T209" s="1"/>
    </row>
    <row r="210" spans="2:20" ht="13.2" x14ac:dyDescent="0.25">
      <c r="B210" s="18" t="str">
        <f>[2]Base!A210</f>
        <v>LOPES BRASIL</v>
      </c>
      <c r="C210" s="19" t="str">
        <f>[2]Base!C210</f>
        <v>NM</v>
      </c>
      <c r="D210" s="19" t="str">
        <f>[2]Base!EQ210</f>
        <v>Intermediação Imobiliária</v>
      </c>
      <c r="E210" s="19" t="str">
        <f>[2]Base!M210</f>
        <v>Itaú BBA</v>
      </c>
      <c r="F210" s="19" t="str">
        <f>[2]Base!F210</f>
        <v>FOLLOW-ON</v>
      </c>
      <c r="G210" s="19" t="str">
        <f>[2]Base!G210</f>
        <v>ICVM 400</v>
      </c>
      <c r="H210" s="20">
        <f>[2]Base!X210</f>
        <v>40472</v>
      </c>
      <c r="I210" s="21">
        <f>[2]Base!W210</f>
        <v>37.51</v>
      </c>
      <c r="J210" s="22">
        <f>[2]Base!J210</f>
        <v>40476</v>
      </c>
      <c r="K210" s="23">
        <f>[2]Base!BL210</f>
        <v>2035</v>
      </c>
      <c r="L210" s="23">
        <f>[2]Base!DZ210</f>
        <v>2215</v>
      </c>
      <c r="M210" s="24">
        <f>[2]Base!AO210</f>
        <v>207055200</v>
      </c>
      <c r="N210" s="24">
        <f>[2]Base!AP210</f>
        <v>0</v>
      </c>
      <c r="O210" s="25">
        <f>[2]Base!AQ210</f>
        <v>207055200</v>
      </c>
      <c r="P210" s="26">
        <f>[2]Base!EF210</f>
        <v>8.5058695652173902E-2</v>
      </c>
      <c r="Q210" s="26">
        <f>[2]Base!EH210</f>
        <v>0.26343079710144923</v>
      </c>
      <c r="R210" s="26">
        <f>[2]Base!EJ210</f>
        <v>0.64918115942028976</v>
      </c>
      <c r="S210" s="27">
        <f>[2]Base!EL210</f>
        <v>2.3293478260869565E-3</v>
      </c>
      <c r="T210" s="1"/>
    </row>
    <row r="211" spans="2:20" ht="13.2" x14ac:dyDescent="0.25">
      <c r="B211" s="18" t="str">
        <f>[2]Base!A211</f>
        <v>BR INSURANCE</v>
      </c>
      <c r="C211" s="19" t="str">
        <f>[2]Base!C211</f>
        <v>NM</v>
      </c>
      <c r="D211" s="19" t="str">
        <f>[2]Base!EQ211</f>
        <v>Corretoras de Seguros</v>
      </c>
      <c r="E211" s="19" t="str">
        <f>[2]Base!M211</f>
        <v>Morgan Stanley</v>
      </c>
      <c r="F211" s="19" t="str">
        <f>[2]Base!F211</f>
        <v>IPO</v>
      </c>
      <c r="G211" s="19" t="str">
        <f>[2]Base!G211</f>
        <v>ICVM 400</v>
      </c>
      <c r="H211" s="20">
        <f>[2]Base!X211</f>
        <v>40479</v>
      </c>
      <c r="I211" s="21">
        <f>[2]Base!W211</f>
        <v>1350</v>
      </c>
      <c r="J211" s="22">
        <f>[2]Base!J211</f>
        <v>40483</v>
      </c>
      <c r="K211" s="23">
        <f>[2]Base!BL211</f>
        <v>70</v>
      </c>
      <c r="L211" s="23">
        <f>[2]Base!DZ211</f>
        <v>472</v>
      </c>
      <c r="M211" s="24">
        <f>[2]Base!AO211</f>
        <v>348097500</v>
      </c>
      <c r="N211" s="24">
        <f>[2]Base!AP211</f>
        <v>296527500</v>
      </c>
      <c r="O211" s="25">
        <f>[2]Base!AQ211</f>
        <v>644625000</v>
      </c>
      <c r="P211" s="26">
        <f>[2]Base!EF211</f>
        <v>4.862198952879581E-2</v>
      </c>
      <c r="Q211" s="26">
        <f>[2]Base!EH211</f>
        <v>0.15247748691099478</v>
      </c>
      <c r="R211" s="26">
        <f>[2]Base!EJ211</f>
        <v>0.79890052356020946</v>
      </c>
      <c r="S211" s="27">
        <f>[2]Base!EL211</f>
        <v>0</v>
      </c>
      <c r="T211" s="1"/>
    </row>
    <row r="212" spans="2:20" ht="13.2" x14ac:dyDescent="0.25">
      <c r="B212" s="18" t="str">
        <f>[2]Base!A212</f>
        <v>ANHANGUERA</v>
      </c>
      <c r="C212" s="19" t="str">
        <f>[2]Base!C212</f>
        <v>NM</v>
      </c>
      <c r="D212" s="19" t="str">
        <f>[2]Base!EQ212</f>
        <v>Serviços Educacionais</v>
      </c>
      <c r="E212" s="19" t="str">
        <f>[2]Base!M212</f>
        <v>Itaú BBA</v>
      </c>
      <c r="F212" s="19" t="str">
        <f>[2]Base!F212</f>
        <v>FOLLOW-ON</v>
      </c>
      <c r="G212" s="19" t="str">
        <f>[2]Base!G212</f>
        <v>ICVM 400</v>
      </c>
      <c r="H212" s="20">
        <f>[2]Base!X212</f>
        <v>40521</v>
      </c>
      <c r="I212" s="21">
        <f>[2]Base!W212</f>
        <v>36.700000000000003</v>
      </c>
      <c r="J212" s="22">
        <f>[2]Base!J212</f>
        <v>40525</v>
      </c>
      <c r="K212" s="23">
        <f>[2]Base!BL212</f>
        <v>2124</v>
      </c>
      <c r="L212" s="23">
        <f>[2]Base!DZ212</f>
        <v>2484</v>
      </c>
      <c r="M212" s="24">
        <f>[2]Base!AO212</f>
        <v>844100000</v>
      </c>
      <c r="N212" s="24">
        <f>[2]Base!AP212</f>
        <v>0</v>
      </c>
      <c r="O212" s="25">
        <f>[2]Base!AQ212</f>
        <v>844100000</v>
      </c>
      <c r="P212" s="26">
        <f>[2]Base!EF212</f>
        <v>8.5455130434782603E-2</v>
      </c>
      <c r="Q212" s="26">
        <f>[2]Base!EH212</f>
        <v>0.16158069565217387</v>
      </c>
      <c r="R212" s="26">
        <f>[2]Base!EJ212</f>
        <v>0.75078617391304348</v>
      </c>
      <c r="S212" s="27">
        <f>[2]Base!EL212</f>
        <v>2.1779999999999998E-3</v>
      </c>
      <c r="T212" s="1"/>
    </row>
    <row r="213" spans="2:20" ht="13.8" thickBot="1" x14ac:dyDescent="0.3">
      <c r="B213" s="30" t="str">
        <f>[2]Base!A213</f>
        <v>RAIA</v>
      </c>
      <c r="C213" s="31" t="str">
        <f>[2]Base!C213</f>
        <v>NM</v>
      </c>
      <c r="D213" s="31" t="str">
        <f>[2]Base!EQ213</f>
        <v>Medicamentos</v>
      </c>
      <c r="E213" s="31" t="str">
        <f>[2]Base!M213</f>
        <v>Itaú BBA</v>
      </c>
      <c r="F213" s="31" t="str">
        <f>[2]Base!F213</f>
        <v>IPO</v>
      </c>
      <c r="G213" s="31" t="str">
        <f>[2]Base!G213</f>
        <v>ICVM 400</v>
      </c>
      <c r="H213" s="32">
        <f>[2]Base!X213</f>
        <v>40528</v>
      </c>
      <c r="I213" s="33">
        <f>[2]Base!W213</f>
        <v>24</v>
      </c>
      <c r="J213" s="34">
        <f>[2]Base!J213</f>
        <v>40532</v>
      </c>
      <c r="K213" s="35">
        <f>[2]Base!BL213</f>
        <v>6672</v>
      </c>
      <c r="L213" s="35">
        <f>[2]Base!DZ213</f>
        <v>7477</v>
      </c>
      <c r="M213" s="36">
        <f>[2]Base!AO213</f>
        <v>525655800</v>
      </c>
      <c r="N213" s="36">
        <f>[2]Base!AP213</f>
        <v>129041880</v>
      </c>
      <c r="O213" s="37">
        <f>[2]Base!AQ213</f>
        <v>654697680</v>
      </c>
      <c r="P213" s="38">
        <f>[2]Base!EF213</f>
        <v>8.561534539117352E-2</v>
      </c>
      <c r="Q213" s="38">
        <f>[2]Base!EH213</f>
        <v>0.26465674966192027</v>
      </c>
      <c r="R213" s="38">
        <f>[2]Base!EJ213</f>
        <v>0.6480352519349083</v>
      </c>
      <c r="S213" s="39">
        <f>[2]Base!EL213</f>
        <v>1.6926530119978429E-3</v>
      </c>
      <c r="T213" s="1"/>
    </row>
    <row r="214" spans="2:20" ht="13.8" thickTop="1" x14ac:dyDescent="0.25">
      <c r="B214" s="40" t="str">
        <f>[2]Base!A214</f>
        <v xml:space="preserve">AREZZO CO </v>
      </c>
      <c r="C214" s="41" t="str">
        <f>[2]Base!C214</f>
        <v>NM</v>
      </c>
      <c r="D214" s="41" t="str">
        <f>[2]Base!EQ214</f>
        <v>Tecidos, Vestuário e Calçados</v>
      </c>
      <c r="E214" s="41" t="str">
        <f>[2]Base!M214</f>
        <v>Itaú BBA</v>
      </c>
      <c r="F214" s="41" t="str">
        <f>[2]Base!F214</f>
        <v>IPO</v>
      </c>
      <c r="G214" s="41" t="str">
        <f>[2]Base!G214</f>
        <v>ICVM 400</v>
      </c>
      <c r="H214" s="42">
        <f>[2]Base!X214</f>
        <v>40574</v>
      </c>
      <c r="I214" s="43">
        <f>[2]Base!W214</f>
        <v>19</v>
      </c>
      <c r="J214" s="44">
        <f>[2]Base!J214</f>
        <v>40576</v>
      </c>
      <c r="K214" s="45">
        <f>[2]Base!BL214</f>
        <v>8992</v>
      </c>
      <c r="L214" s="45">
        <f>[2]Base!DZ214</f>
        <v>9799</v>
      </c>
      <c r="M214" s="46">
        <f>[2]Base!AO214</f>
        <v>195588242</v>
      </c>
      <c r="N214" s="46">
        <f>[2]Base!AP214</f>
        <v>370220605</v>
      </c>
      <c r="O214" s="47">
        <f>[2]Base!AQ214</f>
        <v>565808847</v>
      </c>
      <c r="P214" s="48">
        <f>[2]Base!EF214</f>
        <v>7.5768283276772444E-2</v>
      </c>
      <c r="Q214" s="48">
        <f>[2]Base!EH214</f>
        <v>0.22417204798496196</v>
      </c>
      <c r="R214" s="48">
        <f>[2]Base!EJ214</f>
        <v>0.69878059718638508</v>
      </c>
      <c r="S214" s="49">
        <f>[2]Base!EL214</f>
        <v>1.2790715518804887E-3</v>
      </c>
      <c r="T214" s="1"/>
    </row>
    <row r="215" spans="2:20" ht="13.2" x14ac:dyDescent="0.25">
      <c r="B215" s="18" t="str">
        <f>[2]Base!A215</f>
        <v xml:space="preserve">SIERRABRASIL </v>
      </c>
      <c r="C215" s="19" t="str">
        <f>[2]Base!C215</f>
        <v>NM</v>
      </c>
      <c r="D215" s="19" t="str">
        <f>[2]Base!EQ215</f>
        <v xml:space="preserve">Exploração de Imóveis </v>
      </c>
      <c r="E215" s="19" t="str">
        <f>[2]Base!M215</f>
        <v>Credit Suisse</v>
      </c>
      <c r="F215" s="19" t="str">
        <f>[2]Base!F215</f>
        <v>IPO</v>
      </c>
      <c r="G215" s="19" t="str">
        <f>[2]Base!G215</f>
        <v>ICVM 400</v>
      </c>
      <c r="H215" s="20">
        <f>[2]Base!X215</f>
        <v>40575</v>
      </c>
      <c r="I215" s="21">
        <f>[2]Base!W215</f>
        <v>20</v>
      </c>
      <c r="J215" s="22">
        <f>[2]Base!J215</f>
        <v>40577</v>
      </c>
      <c r="K215" s="23">
        <f>[2]Base!BL215</f>
        <v>3389</v>
      </c>
      <c r="L215" s="23">
        <f>[2]Base!DZ215</f>
        <v>3739</v>
      </c>
      <c r="M215" s="24">
        <f>[2]Base!AO215</f>
        <v>465020860</v>
      </c>
      <c r="N215" s="24">
        <f>[2]Base!AP215</f>
        <v>0</v>
      </c>
      <c r="O215" s="25">
        <f>[2]Base!AQ215</f>
        <v>465020860</v>
      </c>
      <c r="P215" s="26">
        <f>[2]Base!EF215</f>
        <v>8.8000427214554006E-2</v>
      </c>
      <c r="Q215" s="26">
        <f>[2]Base!EH215</f>
        <v>0.35426214890342478</v>
      </c>
      <c r="R215" s="26">
        <f>[2]Base!EJ215</f>
        <v>0.55478970200488498</v>
      </c>
      <c r="S215" s="27">
        <f>[2]Base!EL215</f>
        <v>2.9477218771362559E-3</v>
      </c>
      <c r="T215" s="1"/>
    </row>
    <row r="216" spans="2:20" ht="13.2" x14ac:dyDescent="0.25">
      <c r="B216" s="18" t="str">
        <f>[2]Base!A216</f>
        <v xml:space="preserve">TECNISA </v>
      </c>
      <c r="C216" s="19" t="str">
        <f>[2]Base!C216</f>
        <v>NM</v>
      </c>
      <c r="D216" s="19" t="str">
        <f>[2]Base!EQ216</f>
        <v>Construção Civil</v>
      </c>
      <c r="E216" s="19" t="str">
        <f>[2]Base!M216</f>
        <v>Itaú BBA</v>
      </c>
      <c r="F216" s="19" t="str">
        <f>[2]Base!F216</f>
        <v>FOLLOW-ON</v>
      </c>
      <c r="G216" s="19" t="str">
        <f>[2]Base!G216</f>
        <v>ICVM 400</v>
      </c>
      <c r="H216" s="20">
        <f>[2]Base!X216</f>
        <v>40575</v>
      </c>
      <c r="I216" s="21">
        <f>[2]Base!W216</f>
        <v>10</v>
      </c>
      <c r="J216" s="22">
        <f>[2]Base!J216</f>
        <v>40577</v>
      </c>
      <c r="K216" s="23">
        <f>[2]Base!BL216</f>
        <v>2391</v>
      </c>
      <c r="L216" s="23">
        <f>[2]Base!DZ216</f>
        <v>2665</v>
      </c>
      <c r="M216" s="24">
        <f>[2]Base!AO216</f>
        <v>398305000</v>
      </c>
      <c r="N216" s="24">
        <f>[2]Base!AP216</f>
        <v>0</v>
      </c>
      <c r="O216" s="25">
        <f>[2]Base!AQ216</f>
        <v>398305000</v>
      </c>
      <c r="P216" s="26">
        <f>[2]Base!EF216</f>
        <v>8.9707391304347822E-2</v>
      </c>
      <c r="Q216" s="26">
        <f>[2]Base!EH216</f>
        <v>0.39460777777777778</v>
      </c>
      <c r="R216" s="26">
        <f>[2]Base!EJ216</f>
        <v>0.5134309178743961</v>
      </c>
      <c r="S216" s="27">
        <f>[2]Base!EL216</f>
        <v>2.2539130434782607E-3</v>
      </c>
      <c r="T216" s="1"/>
    </row>
    <row r="217" spans="2:20" ht="13.2" x14ac:dyDescent="0.25">
      <c r="B217" s="18" t="str">
        <f>[2]Base!A217</f>
        <v xml:space="preserve">AUTOMETAL </v>
      </c>
      <c r="C217" s="19" t="str">
        <f>[2]Base!C217</f>
        <v>NM</v>
      </c>
      <c r="D217" s="19" t="str">
        <f>[2]Base!EQ217</f>
        <v>Material Rodoviário</v>
      </c>
      <c r="E217" s="19" t="str">
        <f>[2]Base!M217</f>
        <v>Santander</v>
      </c>
      <c r="F217" s="19" t="str">
        <f>[2]Base!F217</f>
        <v>IPO</v>
      </c>
      <c r="G217" s="19" t="str">
        <f>[2]Base!G217</f>
        <v>ICVM 400</v>
      </c>
      <c r="H217" s="20">
        <f>[2]Base!X217</f>
        <v>40577</v>
      </c>
      <c r="I217" s="21">
        <f>[2]Base!W217</f>
        <v>14</v>
      </c>
      <c r="J217" s="22">
        <f>[2]Base!J217</f>
        <v>40581</v>
      </c>
      <c r="K217" s="23">
        <f>[2]Base!BL217</f>
        <v>3545</v>
      </c>
      <c r="L217" s="23">
        <f>[2]Base!DZ217</f>
        <v>3837</v>
      </c>
      <c r="M217" s="24">
        <f>[2]Base!AO217</f>
        <v>440752200</v>
      </c>
      <c r="N217" s="24">
        <f>[2]Base!AP217</f>
        <v>13559420</v>
      </c>
      <c r="O217" s="25">
        <f>[2]Base!AQ217</f>
        <v>454311620</v>
      </c>
      <c r="P217" s="26">
        <f>[2]Base!EF217</f>
        <v>8.6564052008444567E-2</v>
      </c>
      <c r="Q217" s="26">
        <f>[2]Base!EH217</f>
        <v>0.13552680250634339</v>
      </c>
      <c r="R217" s="26">
        <f>[2]Base!EJ217</f>
        <v>0.63921363606043569</v>
      </c>
      <c r="S217" s="27">
        <f>[2]Base!EL217</f>
        <v>0.13869550942477635</v>
      </c>
      <c r="T217" s="1"/>
    </row>
    <row r="218" spans="2:20" ht="13.2" x14ac:dyDescent="0.25">
      <c r="B218" s="18" t="str">
        <f>[2]Base!A218</f>
        <v xml:space="preserve">BR BROKERS </v>
      </c>
      <c r="C218" s="19" t="str">
        <f>[2]Base!C218</f>
        <v>NM</v>
      </c>
      <c r="D218" s="19" t="str">
        <f>[2]Base!EQ218</f>
        <v xml:space="preserve">Intermediação Imobiliária </v>
      </c>
      <c r="E218" s="19" t="str">
        <f>[2]Base!M218</f>
        <v>Credit Suisse</v>
      </c>
      <c r="F218" s="19" t="str">
        <f>[2]Base!F218</f>
        <v>FOLLOW-ON</v>
      </c>
      <c r="G218" s="19" t="str">
        <f>[2]Base!G218</f>
        <v>ICVM 400</v>
      </c>
      <c r="H218" s="20">
        <f>[2]Base!X218</f>
        <v>40577</v>
      </c>
      <c r="I218" s="21">
        <f>[2]Base!W218</f>
        <v>7.9</v>
      </c>
      <c r="J218" s="22">
        <f>[2]Base!J218</f>
        <v>40581</v>
      </c>
      <c r="K218" s="23">
        <f>[2]Base!BL218</f>
        <v>2729</v>
      </c>
      <c r="L218" s="23">
        <f>[2]Base!DZ218</f>
        <v>2874</v>
      </c>
      <c r="M218" s="24">
        <f>[2]Base!AO218</f>
        <v>189303552.5</v>
      </c>
      <c r="N218" s="24">
        <f>[2]Base!AP218</f>
        <v>0</v>
      </c>
      <c r="O218" s="25">
        <f>[2]Base!AQ218</f>
        <v>189303552.5</v>
      </c>
      <c r="P218" s="26">
        <f>[2]Base!EF218</f>
        <v>8.6013693015649026E-2</v>
      </c>
      <c r="Q218" s="26">
        <f>[2]Base!EH218</f>
        <v>9.8390440492742148E-2</v>
      </c>
      <c r="R218" s="26">
        <f>[2]Base!EJ218</f>
        <v>0.81355158003586503</v>
      </c>
      <c r="S218" s="27">
        <f>[2]Base!EL218</f>
        <v>2.0442864557438122E-3</v>
      </c>
      <c r="T218" s="1"/>
    </row>
    <row r="219" spans="2:20" ht="13.2" x14ac:dyDescent="0.25">
      <c r="B219" s="18" t="str">
        <f>[2]Base!A219</f>
        <v xml:space="preserve">QGEP PART </v>
      </c>
      <c r="C219" s="19" t="str">
        <f>[2]Base!C219</f>
        <v>NM</v>
      </c>
      <c r="D219" s="19" t="str">
        <f>[2]Base!EQ219</f>
        <v xml:space="preserve">Exploração e/ou Refino </v>
      </c>
      <c r="E219" s="19" t="str">
        <f>[2]Base!M219</f>
        <v>Itaú BBA</v>
      </c>
      <c r="F219" s="19" t="str">
        <f>[2]Base!F219</f>
        <v>IPO</v>
      </c>
      <c r="G219" s="19" t="str">
        <f>[2]Base!G219</f>
        <v>ICVM 400</v>
      </c>
      <c r="H219" s="20">
        <f>[2]Base!X219</f>
        <v>40581</v>
      </c>
      <c r="I219" s="21">
        <f>[2]Base!W219</f>
        <v>19</v>
      </c>
      <c r="J219" s="22">
        <f>[2]Base!J219</f>
        <v>40583</v>
      </c>
      <c r="K219" s="23">
        <f>[2]Base!BL219</f>
        <v>8896</v>
      </c>
      <c r="L219" s="23">
        <f>[2]Base!DZ219</f>
        <v>9722</v>
      </c>
      <c r="M219" s="24">
        <f>[2]Base!AO219</f>
        <v>1515079361</v>
      </c>
      <c r="N219" s="24">
        <f>[2]Base!AP219</f>
        <v>0</v>
      </c>
      <c r="O219" s="25">
        <f>[2]Base!AQ219</f>
        <v>1515079361</v>
      </c>
      <c r="P219" s="26">
        <f>[2]Base!EF219</f>
        <v>0.12466858493493795</v>
      </c>
      <c r="Q219" s="26">
        <f>[2]Base!EH219</f>
        <v>0.14722146954254497</v>
      </c>
      <c r="R219" s="26">
        <f>[2]Base!EJ219</f>
        <v>0.72067911497343673</v>
      </c>
      <c r="S219" s="27">
        <f>[2]Base!EL219</f>
        <v>7.4308305490803925E-3</v>
      </c>
      <c r="T219" s="1"/>
    </row>
    <row r="220" spans="2:20" ht="13.2" x14ac:dyDescent="0.25">
      <c r="B220" s="18" t="str">
        <f>[2]Base!A220</f>
        <v>DIRECIONAL</v>
      </c>
      <c r="C220" s="19" t="str">
        <f>[2]Base!C220</f>
        <v>NM</v>
      </c>
      <c r="D220" s="19" t="str">
        <f>[2]Base!EQ220</f>
        <v xml:space="preserve">Construção Civil </v>
      </c>
      <c r="E220" s="19" t="str">
        <f>[2]Base!M220</f>
        <v>Itaú BBA</v>
      </c>
      <c r="F220" s="19" t="str">
        <f>[2]Base!F220</f>
        <v>FOLLOW-ON</v>
      </c>
      <c r="G220" s="19" t="str">
        <f>[2]Base!G220</f>
        <v>ICVM 400</v>
      </c>
      <c r="H220" s="20">
        <f>[2]Base!X220</f>
        <v>40583</v>
      </c>
      <c r="I220" s="21">
        <f>[2]Base!W220</f>
        <v>11</v>
      </c>
      <c r="J220" s="22">
        <f>[2]Base!J220</f>
        <v>40585</v>
      </c>
      <c r="K220" s="23">
        <f>[2]Base!BL220</f>
        <v>1162</v>
      </c>
      <c r="L220" s="23">
        <f>[2]Base!DZ220</f>
        <v>1336</v>
      </c>
      <c r="M220" s="24">
        <f>[2]Base!AO220</f>
        <v>228800000</v>
      </c>
      <c r="N220" s="24">
        <f>[2]Base!AP220</f>
        <v>79200000</v>
      </c>
      <c r="O220" s="25">
        <f>[2]Base!AQ220</f>
        <v>308000000</v>
      </c>
      <c r="P220" s="26">
        <f>[2]Base!EF220</f>
        <v>0.10623077922077923</v>
      </c>
      <c r="Q220" s="26">
        <f>[2]Base!EH220</f>
        <v>8.482467532467533E-2</v>
      </c>
      <c r="R220" s="26">
        <f>[2]Base!EJ220</f>
        <v>0.80692808441558439</v>
      </c>
      <c r="S220" s="27">
        <f>[2]Base!EL220</f>
        <v>2.016461038961039E-3</v>
      </c>
      <c r="T220" s="1"/>
    </row>
    <row r="221" spans="2:20" ht="13.2" x14ac:dyDescent="0.25">
      <c r="B221" s="18" t="str">
        <f>[2]Base!A221</f>
        <v>MAGNESITA SA</v>
      </c>
      <c r="C221" s="19" t="str">
        <f>[2]Base!C221</f>
        <v>NM</v>
      </c>
      <c r="D221" s="19" t="str">
        <f>[2]Base!EQ221</f>
        <v xml:space="preserve">Materiais Diversos </v>
      </c>
      <c r="E221" s="19" t="str">
        <f>[2]Base!M221</f>
        <v>Itaú BBA</v>
      </c>
      <c r="F221" s="19" t="str">
        <f>[2]Base!F221</f>
        <v>FOLLOW-ON</v>
      </c>
      <c r="G221" s="19" t="str">
        <f>[2]Base!G221</f>
        <v>ICVM 400</v>
      </c>
      <c r="H221" s="20">
        <f>[2]Base!X221</f>
        <v>40585</v>
      </c>
      <c r="I221" s="21">
        <f>[2]Base!W221</f>
        <v>8.25</v>
      </c>
      <c r="J221" s="22">
        <f>[2]Base!J221</f>
        <v>40589</v>
      </c>
      <c r="K221" s="23">
        <f>[2]Base!BL221</f>
        <v>1620</v>
      </c>
      <c r="L221" s="23">
        <f>[2]Base!DZ221</f>
        <v>1822</v>
      </c>
      <c r="M221" s="24">
        <f>[2]Base!AO221</f>
        <v>278602500</v>
      </c>
      <c r="N221" s="24">
        <f>[2]Base!AP221</f>
        <v>0</v>
      </c>
      <c r="O221" s="25">
        <f>[2]Base!AQ221</f>
        <v>278602500</v>
      </c>
      <c r="P221" s="26">
        <f>[2]Base!EF221</f>
        <v>0.12608430559668346</v>
      </c>
      <c r="Q221" s="26">
        <f>[2]Base!EH221</f>
        <v>0.34393180337577733</v>
      </c>
      <c r="R221" s="26">
        <f>[2]Base!EJ221</f>
        <v>0.52754006514657981</v>
      </c>
      <c r="S221" s="27">
        <f>[2]Base!EL221</f>
        <v>2.4438258809594314E-3</v>
      </c>
      <c r="T221" s="1"/>
    </row>
    <row r="222" spans="2:20" ht="13.2" x14ac:dyDescent="0.25">
      <c r="B222" s="18" t="str">
        <f>[2]Base!A222</f>
        <v>IMC HOLDINGS</v>
      </c>
      <c r="C222" s="19" t="str">
        <f>[2]Base!C222</f>
        <v>NM</v>
      </c>
      <c r="D222" s="19" t="str">
        <f>[2]Base!EQ222</f>
        <v xml:space="preserve">Restaurante e Similares </v>
      </c>
      <c r="E222" s="19" t="str">
        <f>[2]Base!M222</f>
        <v>BTG Pactual</v>
      </c>
      <c r="F222" s="19" t="str">
        <f>[2]Base!F222</f>
        <v>IPO</v>
      </c>
      <c r="G222" s="19" t="str">
        <f>[2]Base!G222</f>
        <v>ICVM 400</v>
      </c>
      <c r="H222" s="20">
        <f>[2]Base!X222</f>
        <v>40605</v>
      </c>
      <c r="I222" s="21">
        <f>[2]Base!W222</f>
        <v>13.5</v>
      </c>
      <c r="J222" s="22">
        <f>[2]Base!J222</f>
        <v>40611</v>
      </c>
      <c r="K222" s="23">
        <f>[2]Base!BL222</f>
        <v>669</v>
      </c>
      <c r="L222" s="23">
        <f>[2]Base!DZ222</f>
        <v>775</v>
      </c>
      <c r="M222" s="24">
        <f>[2]Base!AO222</f>
        <v>320515987.5</v>
      </c>
      <c r="N222" s="24">
        <f>[2]Base!AP222</f>
        <v>133079733</v>
      </c>
      <c r="O222" s="25">
        <f>[2]Base!AQ222</f>
        <v>453595720.5</v>
      </c>
      <c r="P222" s="26">
        <f>[2]Base!EF222</f>
        <v>2.6061733975287802E-2</v>
      </c>
      <c r="Q222" s="26">
        <f>[2]Base!EH222</f>
        <v>4.086136765040313E-2</v>
      </c>
      <c r="R222" s="26">
        <f>[2]Base!EJ222</f>
        <v>0.93203641236734291</v>
      </c>
      <c r="S222" s="27">
        <f>[2]Base!EL222</f>
        <v>1.0404860069661967E-3</v>
      </c>
      <c r="T222" s="1"/>
    </row>
    <row r="223" spans="2:20" ht="13.2" x14ac:dyDescent="0.25">
      <c r="B223" s="18" t="str">
        <f>[2]Base!A223</f>
        <v>TIME FOR FUN</v>
      </c>
      <c r="C223" s="19" t="str">
        <f>[2]Base!C223</f>
        <v>NM</v>
      </c>
      <c r="D223" s="19" t="str">
        <f>[2]Base!EQ223</f>
        <v>Produção de Eventos e Shows</v>
      </c>
      <c r="E223" s="19" t="str">
        <f>[2]Base!M223</f>
        <v>Credit Suisse</v>
      </c>
      <c r="F223" s="19" t="str">
        <f>[2]Base!F223</f>
        <v>IPO</v>
      </c>
      <c r="G223" s="19" t="str">
        <f>[2]Base!G223</f>
        <v>ICVM 400</v>
      </c>
      <c r="H223" s="20">
        <f>[2]Base!X223</f>
        <v>40644</v>
      </c>
      <c r="I223" s="21">
        <f>[2]Base!W223</f>
        <v>16</v>
      </c>
      <c r="J223" s="22">
        <f>[2]Base!J223</f>
        <v>40646</v>
      </c>
      <c r="K223" s="23">
        <f>[2]Base!BL223</f>
        <v>900</v>
      </c>
      <c r="L223" s="23">
        <f>[2]Base!DZ223</f>
        <v>1041</v>
      </c>
      <c r="M223" s="24">
        <f>[2]Base!AO223</f>
        <v>187586208</v>
      </c>
      <c r="N223" s="24">
        <f>[2]Base!AP223</f>
        <v>315476128</v>
      </c>
      <c r="O223" s="25">
        <f>[2]Base!AQ223</f>
        <v>503062336</v>
      </c>
      <c r="P223" s="26">
        <f>[2]Base!EF223</f>
        <v>3.9950934669273609E-2</v>
      </c>
      <c r="Q223" s="26">
        <f>[2]Base!EH223</f>
        <v>5.0783762468071814E-2</v>
      </c>
      <c r="R223" s="26">
        <f>[2]Base!EJ223</f>
        <v>0.90842230029131132</v>
      </c>
      <c r="S223" s="27">
        <f>[2]Base!EL223</f>
        <v>8.4300257134326461E-4</v>
      </c>
      <c r="T223" s="1"/>
    </row>
    <row r="224" spans="2:20" ht="13.2" x14ac:dyDescent="0.25">
      <c r="B224" s="18" t="str">
        <f>[2]Base!A224</f>
        <v>GERDAU</v>
      </c>
      <c r="C224" s="19" t="str">
        <f>[2]Base!C224</f>
        <v>N1</v>
      </c>
      <c r="D224" s="19" t="str">
        <f>[2]Base!EQ224</f>
        <v>Siderurgia</v>
      </c>
      <c r="E224" s="19" t="str">
        <f>[2]Base!M224</f>
        <v>BTG Pactual</v>
      </c>
      <c r="F224" s="19" t="str">
        <f>[2]Base!F224</f>
        <v>FOLLOW-ON</v>
      </c>
      <c r="G224" s="19" t="str">
        <f>[2]Base!G224</f>
        <v>ICVM 400</v>
      </c>
      <c r="H224" s="20">
        <f>[2]Base!X224</f>
        <v>40645</v>
      </c>
      <c r="I224" s="21">
        <f>[2]Base!W224</f>
        <v>18.336658749391823</v>
      </c>
      <c r="J224" s="22">
        <f>[2]Base!J224</f>
        <v>40647</v>
      </c>
      <c r="K224" s="23">
        <f>[2]Base!BL224</f>
        <v>10579</v>
      </c>
      <c r="L224" s="23">
        <f>[2]Base!DZ224</f>
        <v>12141</v>
      </c>
      <c r="M224" s="24">
        <f>[2]Base!AO224</f>
        <v>3719719767.2919645</v>
      </c>
      <c r="N224" s="24">
        <f>[2]Base!AP224</f>
        <v>1265229453.7080357</v>
      </c>
      <c r="O224" s="25">
        <f>[2]Base!AQ224</f>
        <v>4984949221</v>
      </c>
      <c r="P224" s="26">
        <f>[2]Base!EF224</f>
        <v>7.582816324036093E-2</v>
      </c>
      <c r="Q224" s="26">
        <f>[2]Base!EH224</f>
        <v>0.29844854643822538</v>
      </c>
      <c r="R224" s="26">
        <f>[2]Base!EJ224</f>
        <v>0.39040359926734458</v>
      </c>
      <c r="S224" s="27">
        <f>[2]Base!EL224</f>
        <v>0.23531969105406925</v>
      </c>
      <c r="T224" s="1"/>
    </row>
    <row r="225" spans="2:20" ht="13.2" x14ac:dyDescent="0.25">
      <c r="B225" s="18" t="str">
        <f>[2]Base!A225</f>
        <v>MAGAZ LUIZA</v>
      </c>
      <c r="C225" s="19" t="str">
        <f>[2]Base!C225</f>
        <v>NM</v>
      </c>
      <c r="D225" s="19" t="str">
        <f>[2]Base!EQ225</f>
        <v>Eletrodomésticos</v>
      </c>
      <c r="E225" s="19" t="str">
        <f>[2]Base!M225</f>
        <v>Itaú BBA</v>
      </c>
      <c r="F225" s="19" t="str">
        <f>[2]Base!F225</f>
        <v>IPO</v>
      </c>
      <c r="G225" s="19" t="str">
        <f>[2]Base!G225</f>
        <v>ICVM 400</v>
      </c>
      <c r="H225" s="20">
        <f>[2]Base!X225</f>
        <v>40661</v>
      </c>
      <c r="I225" s="21">
        <f>[2]Base!W225</f>
        <v>16</v>
      </c>
      <c r="J225" s="22">
        <f>[2]Base!J225</f>
        <v>40665</v>
      </c>
      <c r="K225" s="23">
        <f>[2]Base!BL225</f>
        <v>34496</v>
      </c>
      <c r="L225" s="23">
        <f>[2]Base!DZ225</f>
        <v>36995</v>
      </c>
      <c r="M225" s="24">
        <f>[2]Base!AO225</f>
        <v>583911472</v>
      </c>
      <c r="N225" s="24">
        <f>[2]Base!AP225</f>
        <v>302469264</v>
      </c>
      <c r="O225" s="25">
        <f>[2]Base!AQ225</f>
        <v>886380736</v>
      </c>
      <c r="P225" s="26">
        <f>[2]Base!EF225</f>
        <v>0.20802924274677803</v>
      </c>
      <c r="Q225" s="26">
        <f>[2]Base!EH225</f>
        <v>0.30141201082666297</v>
      </c>
      <c r="R225" s="26">
        <f>[2]Base!EJ225</f>
        <v>0.46802855213326644</v>
      </c>
      <c r="S225" s="27">
        <f>[2]Base!EL225</f>
        <v>2.2530194293292567E-2</v>
      </c>
      <c r="T225" s="1"/>
    </row>
    <row r="226" spans="2:20" ht="13.2" x14ac:dyDescent="0.25">
      <c r="B226" s="18" t="str">
        <f>[2]Base!A226</f>
        <v xml:space="preserve">BR MALLS PAR </v>
      </c>
      <c r="C226" s="19" t="str">
        <f>[2]Base!C226</f>
        <v>NM</v>
      </c>
      <c r="D226" s="19" t="str">
        <f>[2]Base!EQ226</f>
        <v>Exploração de Imóveis</v>
      </c>
      <c r="E226" s="19" t="str">
        <f>[2]Base!M226</f>
        <v>Itaú BBA</v>
      </c>
      <c r="F226" s="19" t="str">
        <f>[2]Base!F226</f>
        <v>FOLLOW-ON</v>
      </c>
      <c r="G226" s="19" t="str">
        <f>[2]Base!G226</f>
        <v>ICVM 400</v>
      </c>
      <c r="H226" s="20">
        <f>[2]Base!X226</f>
        <v>40673</v>
      </c>
      <c r="I226" s="21">
        <f>[2]Base!W226</f>
        <v>17.2</v>
      </c>
      <c r="J226" s="22">
        <f>[2]Base!J226</f>
        <v>40675</v>
      </c>
      <c r="K226" s="23">
        <f>[2]Base!BL226</f>
        <v>950</v>
      </c>
      <c r="L226" s="23">
        <f>[2]Base!DZ226</f>
        <v>1486</v>
      </c>
      <c r="M226" s="24">
        <f>[2]Base!AO226</f>
        <v>731000000</v>
      </c>
      <c r="N226" s="24">
        <f>[2]Base!AP226</f>
        <v>0</v>
      </c>
      <c r="O226" s="25">
        <f>[2]Base!AQ226</f>
        <v>731000000</v>
      </c>
      <c r="P226" s="26">
        <f>[2]Base!EF226</f>
        <v>5.9335835294117636E-2</v>
      </c>
      <c r="Q226" s="26">
        <f>[2]Base!EH226</f>
        <v>0.22571101176470587</v>
      </c>
      <c r="R226" s="26">
        <f>[2]Base!EJ226</f>
        <v>0.71218957647058823</v>
      </c>
      <c r="S226" s="27">
        <f>[2]Base!EL226</f>
        <v>2.7635764705882353E-3</v>
      </c>
      <c r="T226" s="1"/>
    </row>
    <row r="227" spans="2:20" ht="13.2" x14ac:dyDescent="0.25">
      <c r="B227" s="18" t="str">
        <f>[2]Base!A227</f>
        <v>BR PHARMA</v>
      </c>
      <c r="C227" s="19" t="str">
        <f>[2]Base!C227</f>
        <v>NM</v>
      </c>
      <c r="D227" s="19" t="str">
        <f>[2]Base!EQ227</f>
        <v>Medicamentos</v>
      </c>
      <c r="E227" s="19" t="str">
        <f>[2]Base!M227</f>
        <v>BTG Pactual</v>
      </c>
      <c r="F227" s="19" t="str">
        <f>[2]Base!F227</f>
        <v>IPO</v>
      </c>
      <c r="G227" s="19" t="str">
        <f>[2]Base!G227</f>
        <v>ICVM 400</v>
      </c>
      <c r="H227" s="20">
        <f>[2]Base!X227</f>
        <v>40716</v>
      </c>
      <c r="I227" s="21">
        <f>[2]Base!W227</f>
        <v>17.25</v>
      </c>
      <c r="J227" s="22">
        <f>[2]Base!J227</f>
        <v>40721</v>
      </c>
      <c r="K227" s="23">
        <f>[2]Base!BL227</f>
        <v>141</v>
      </c>
      <c r="L227" s="23">
        <f>[2]Base!DZ227</f>
        <v>372</v>
      </c>
      <c r="M227" s="24">
        <f>[2]Base!AO227</f>
        <v>414000000</v>
      </c>
      <c r="N227" s="24">
        <f>[2]Base!AP227</f>
        <v>0</v>
      </c>
      <c r="O227" s="25">
        <f>[2]Base!AQ227</f>
        <v>414000000</v>
      </c>
      <c r="P227" s="26">
        <f>[2]Base!EF227</f>
        <v>0.10044444444444445</v>
      </c>
      <c r="Q227" s="26">
        <f>[2]Base!EH227</f>
        <v>0.33304866666666666</v>
      </c>
      <c r="R227" s="26">
        <f>[2]Base!EJ227</f>
        <v>0.5639142962962963</v>
      </c>
      <c r="S227" s="27">
        <f>[2]Base!EL227</f>
        <v>2.5925925925925925E-3</v>
      </c>
      <c r="T227" s="1"/>
    </row>
    <row r="228" spans="2:20" ht="13.2" x14ac:dyDescent="0.25">
      <c r="B228" s="18" t="str">
        <f>[2]Base!A228</f>
        <v>QUALICORP</v>
      </c>
      <c r="C228" s="19" t="str">
        <f>[2]Base!C228</f>
        <v>NM</v>
      </c>
      <c r="D228" s="19" t="str">
        <f>[2]Base!EQ228</f>
        <v>Serv. Méd. Hospit., Análises e Diagnósticos</v>
      </c>
      <c r="E228" s="19" t="str">
        <f>[2]Base!M228</f>
        <v>BofA Merrill Lynch</v>
      </c>
      <c r="F228" s="19" t="str">
        <f>[2]Base!F228</f>
        <v>IPO</v>
      </c>
      <c r="G228" s="19" t="str">
        <f>[2]Base!G228</f>
        <v>ICVM 400</v>
      </c>
      <c r="H228" s="20">
        <f>[2]Base!X228</f>
        <v>40721</v>
      </c>
      <c r="I228" s="21">
        <f>[2]Base!W228</f>
        <v>13</v>
      </c>
      <c r="J228" s="22">
        <f>[2]Base!J228</f>
        <v>40723</v>
      </c>
      <c r="K228" s="23">
        <f>[2]Base!BL228</f>
        <v>807</v>
      </c>
      <c r="L228" s="23">
        <f>[2]Base!DZ228</f>
        <v>997</v>
      </c>
      <c r="M228" s="24">
        <f>[2]Base!AO228</f>
        <v>353852577</v>
      </c>
      <c r="N228" s="24">
        <f>[2]Base!AP228</f>
        <v>731295305</v>
      </c>
      <c r="O228" s="25">
        <f>[2]Base!AQ228</f>
        <v>1085147882</v>
      </c>
      <c r="P228" s="26">
        <f>[2]Base!EF228</f>
        <v>1.9884629881257051E-2</v>
      </c>
      <c r="Q228" s="26">
        <f>[2]Base!EH228</f>
        <v>8.3228770472778754E-2</v>
      </c>
      <c r="R228" s="26">
        <f>[2]Base!EJ228</f>
        <v>0.89637163020330168</v>
      </c>
      <c r="S228" s="27">
        <f>[2]Base!EL228</f>
        <v>5.1496944266256242E-4</v>
      </c>
      <c r="T228" s="1"/>
    </row>
    <row r="229" spans="2:20" ht="13.2" x14ac:dyDescent="0.25">
      <c r="B229" s="18" t="str">
        <f>[2]Base!A229</f>
        <v xml:space="preserve">BR PROPERT </v>
      </c>
      <c r="C229" s="19" t="str">
        <f>[2]Base!C229</f>
        <v>NM</v>
      </c>
      <c r="D229" s="19" t="str">
        <f>[2]Base!EQ229</f>
        <v xml:space="preserve">Exploração de Imóveis </v>
      </c>
      <c r="E229" s="19" t="str">
        <f>[2]Base!M229</f>
        <v>Itaú BBA</v>
      </c>
      <c r="F229" s="19" t="str">
        <f>[2]Base!F229</f>
        <v>FOLLOW-ON</v>
      </c>
      <c r="G229" s="19" t="str">
        <f>[2]Base!G229</f>
        <v>ICVM 400</v>
      </c>
      <c r="H229" s="20">
        <f>[2]Base!X229</f>
        <v>40722</v>
      </c>
      <c r="I229" s="21">
        <f>[2]Base!W229</f>
        <v>17.149999999999999</v>
      </c>
      <c r="J229" s="22">
        <f>[2]Base!J229</f>
        <v>40724</v>
      </c>
      <c r="K229" s="23">
        <f>[2]Base!BL229</f>
        <v>607</v>
      </c>
      <c r="L229" s="23">
        <f>[2]Base!DZ229</f>
        <v>951</v>
      </c>
      <c r="M229" s="24">
        <f>[2]Base!AO229</f>
        <v>690287500</v>
      </c>
      <c r="N229" s="24">
        <f>[2]Base!AP229</f>
        <v>0</v>
      </c>
      <c r="O229" s="25">
        <f>[2]Base!AQ229</f>
        <v>690287500</v>
      </c>
      <c r="P229" s="26">
        <f>[2]Base!EF229</f>
        <v>5.7693639751552783E-2</v>
      </c>
      <c r="Q229" s="26">
        <f>[2]Base!EH229</f>
        <v>0.24812397515527951</v>
      </c>
      <c r="R229" s="26">
        <f>[2]Base!EJ229</f>
        <v>0.68790832298136639</v>
      </c>
      <c r="S229" s="27">
        <f>[2]Base!EL229</f>
        <v>6.2740621118012414E-3</v>
      </c>
      <c r="T229" s="1"/>
    </row>
    <row r="230" spans="2:20" ht="13.2" x14ac:dyDescent="0.25">
      <c r="B230" s="18" t="str">
        <f>[2]Base!A230</f>
        <v>TECHNOS</v>
      </c>
      <c r="C230" s="19" t="str">
        <f>[2]Base!C230</f>
        <v>NM</v>
      </c>
      <c r="D230" s="19" t="str">
        <f>[2]Base!EQ230</f>
        <v>Acessórios</v>
      </c>
      <c r="E230" s="19" t="str">
        <f>[2]Base!M230</f>
        <v>Itaú BBA</v>
      </c>
      <c r="F230" s="19" t="str">
        <f>[2]Base!F230</f>
        <v>IPO</v>
      </c>
      <c r="G230" s="19" t="str">
        <f>[2]Base!G230</f>
        <v>ICVM 400</v>
      </c>
      <c r="H230" s="20">
        <f>[2]Base!X230</f>
        <v>40722</v>
      </c>
      <c r="I230" s="21">
        <f>[2]Base!W230</f>
        <v>16.5</v>
      </c>
      <c r="J230" s="22">
        <f>[2]Base!J230</f>
        <v>40725</v>
      </c>
      <c r="K230" s="23">
        <f>[2]Base!BL230</f>
        <v>586</v>
      </c>
      <c r="L230" s="23">
        <f>[2]Base!DZ230</f>
        <v>739</v>
      </c>
      <c r="M230" s="24">
        <f>[2]Base!AO230</f>
        <v>180608109</v>
      </c>
      <c r="N230" s="24">
        <f>[2]Base!AP230</f>
        <v>280945945.5</v>
      </c>
      <c r="O230" s="25">
        <f>[2]Base!AQ230</f>
        <v>461554054.5</v>
      </c>
      <c r="P230" s="26">
        <f>[2]Base!EF230</f>
        <v>5.7827210572147625E-2</v>
      </c>
      <c r="Q230" s="26">
        <f>[2]Base!EH230</f>
        <v>0.3897494199132856</v>
      </c>
      <c r="R230" s="26">
        <f>[2]Base!EJ230</f>
        <v>0.55167496854910636</v>
      </c>
      <c r="S230" s="27">
        <f>[2]Base!EL230</f>
        <v>7.5161835676172141E-4</v>
      </c>
      <c r="T230" s="1"/>
    </row>
    <row r="231" spans="2:20" ht="13.2" x14ac:dyDescent="0.25">
      <c r="B231" s="18" t="str">
        <f>[2]Base!A231</f>
        <v>KROTON</v>
      </c>
      <c r="C231" s="19" t="str">
        <f>[2]Base!C231</f>
        <v>N2</v>
      </c>
      <c r="D231" s="19" t="str">
        <f>[2]Base!EQ231</f>
        <v>Serviços Educacionais</v>
      </c>
      <c r="E231" s="19" t="str">
        <f>[2]Base!M231</f>
        <v>Itaú BBA</v>
      </c>
      <c r="F231" s="19" t="str">
        <f>[2]Base!F231</f>
        <v>FOLLOW-ON</v>
      </c>
      <c r="G231" s="19" t="str">
        <f>[2]Base!G231</f>
        <v>ICVM 400</v>
      </c>
      <c r="H231" s="20">
        <f>[2]Base!X231</f>
        <v>40723</v>
      </c>
      <c r="I231" s="21">
        <f>[2]Base!W231</f>
        <v>19.25</v>
      </c>
      <c r="J231" s="22">
        <f>[2]Base!J231</f>
        <v>40725</v>
      </c>
      <c r="K231" s="23">
        <f>[2]Base!BL231</f>
        <v>413</v>
      </c>
      <c r="L231" s="23">
        <f>[2]Base!DZ231</f>
        <v>587</v>
      </c>
      <c r="M231" s="24">
        <f>[2]Base!AO231</f>
        <v>380229850</v>
      </c>
      <c r="N231" s="24">
        <f>[2]Base!AP231</f>
        <v>15400000</v>
      </c>
      <c r="O231" s="25">
        <f>[2]Base!AQ231</f>
        <v>395629850</v>
      </c>
      <c r="P231" s="26">
        <f>[2]Base!EF231</f>
        <v>8.3583963759909397E-2</v>
      </c>
      <c r="Q231" s="26">
        <f>[2]Base!EH231</f>
        <v>0.19731646659116647</v>
      </c>
      <c r="R231" s="26">
        <f>[2]Base!EJ231</f>
        <v>0.71769019252548127</v>
      </c>
      <c r="S231" s="27">
        <f>[2]Base!EL231</f>
        <v>1.4093771234428086E-3</v>
      </c>
      <c r="T231" s="1"/>
    </row>
    <row r="232" spans="2:20" ht="13.2" x14ac:dyDescent="0.25">
      <c r="B232" s="18" t="str">
        <f>[2]Base!A232</f>
        <v>METAL LEVE</v>
      </c>
      <c r="C232" s="19" t="str">
        <f>[2]Base!C232</f>
        <v>NM</v>
      </c>
      <c r="D232" s="19" t="str">
        <f>[2]Base!EQ232</f>
        <v>Material Rodoviário</v>
      </c>
      <c r="E232" s="19" t="str">
        <f>[2]Base!M232</f>
        <v>Itaú BBA</v>
      </c>
      <c r="F232" s="19" t="str">
        <f>[2]Base!F232</f>
        <v>FOLLOW-ON</v>
      </c>
      <c r="G232" s="19" t="str">
        <f>[2]Base!G232</f>
        <v>ICVM 400</v>
      </c>
      <c r="H232" s="20">
        <f>[2]Base!X232</f>
        <v>40724</v>
      </c>
      <c r="I232" s="21">
        <f>[2]Base!W232</f>
        <v>41</v>
      </c>
      <c r="J232" s="22">
        <f>[2]Base!J232</f>
        <v>40729</v>
      </c>
      <c r="K232" s="23">
        <f>[2]Base!BL232</f>
        <v>377</v>
      </c>
      <c r="L232" s="23">
        <f>[2]Base!DZ232</f>
        <v>619</v>
      </c>
      <c r="M232" s="24">
        <f>[2]Base!AO232</f>
        <v>0</v>
      </c>
      <c r="N232" s="24">
        <f>[2]Base!AP232</f>
        <v>305766315</v>
      </c>
      <c r="O232" s="25">
        <f>[2]Base!AQ232</f>
        <v>305766315</v>
      </c>
      <c r="P232" s="26">
        <f>[2]Base!EF232</f>
        <v>8.9420187357390601E-2</v>
      </c>
      <c r="Q232" s="26">
        <f>[2]Base!EH232</f>
        <v>0.41020168490750974</v>
      </c>
      <c r="R232" s="26">
        <f>[2]Base!EJ232</f>
        <v>0.37887378880545819</v>
      </c>
      <c r="S232" s="27">
        <f>[2]Base!EL232</f>
        <v>0.12150433892964148</v>
      </c>
      <c r="T232" s="1"/>
    </row>
    <row r="233" spans="2:20" ht="13.2" x14ac:dyDescent="0.25">
      <c r="B233" s="51" t="str">
        <f>[2]Base!A233</f>
        <v>ENERGIAS BR</v>
      </c>
      <c r="C233" s="52" t="str">
        <f>[2]Base!C233</f>
        <v>NM</v>
      </c>
      <c r="D233" s="52" t="str">
        <f>[2]Base!EQ233</f>
        <v>Energia Elétrica</v>
      </c>
      <c r="E233" s="52" t="str">
        <f>[2]Base!M233</f>
        <v>Santander</v>
      </c>
      <c r="F233" s="52" t="str">
        <f>[2]Base!F233</f>
        <v>FOLLOW-ON</v>
      </c>
      <c r="G233" s="52" t="str">
        <f>[2]Base!G233</f>
        <v>ICVM 400</v>
      </c>
      <c r="H233" s="53">
        <f>[2]Base!X233</f>
        <v>40731</v>
      </c>
      <c r="I233" s="54">
        <f>[2]Base!W233</f>
        <v>37</v>
      </c>
      <c r="J233" s="55">
        <f>[2]Base!J233</f>
        <v>40735</v>
      </c>
      <c r="K233" s="56">
        <f>[2]Base!BL233</f>
        <v>1278</v>
      </c>
      <c r="L233" s="56">
        <f>[2]Base!DZ233</f>
        <v>1816</v>
      </c>
      <c r="M233" s="57">
        <f>[2]Base!AO233</f>
        <v>0</v>
      </c>
      <c r="N233" s="57">
        <f>[2]Base!AP233</f>
        <v>810724020</v>
      </c>
      <c r="O233" s="58">
        <f>[2]Base!AQ233</f>
        <v>810724020</v>
      </c>
      <c r="P233" s="59">
        <f>[2]Base!EF233</f>
        <v>0.10626512336466853</v>
      </c>
      <c r="Q233" s="59">
        <f>[2]Base!EH233</f>
        <v>0.29300804236687106</v>
      </c>
      <c r="R233" s="59">
        <f>[2]Base!EJ233</f>
        <v>0.59803344916313195</v>
      </c>
      <c r="S233" s="60">
        <f>[2]Base!EL233</f>
        <v>2.6933851053284447E-3</v>
      </c>
      <c r="T233" s="1"/>
    </row>
    <row r="234" spans="2:20" ht="13.2" x14ac:dyDescent="0.25">
      <c r="B234" s="18" t="str">
        <f>[2]Base!A234</f>
        <v>ABRIL EDUCA</v>
      </c>
      <c r="C234" s="19" t="str">
        <f>[2]Base!C234</f>
        <v>N2</v>
      </c>
      <c r="D234" s="19" t="str">
        <f>[2]Base!EQ234</f>
        <v xml:space="preserve">Jornais, Livros e Revistas </v>
      </c>
      <c r="E234" s="19" t="str">
        <f>[2]Base!M234</f>
        <v>Credit Suisse</v>
      </c>
      <c r="F234" s="19" t="str">
        <f>[2]Base!F234</f>
        <v>IPO</v>
      </c>
      <c r="G234" s="19" t="str">
        <f>[2]Base!G234</f>
        <v>ICVM 400</v>
      </c>
      <c r="H234" s="20">
        <f>[2]Base!X234</f>
        <v>40745</v>
      </c>
      <c r="I234" s="21">
        <f>[2]Base!W234</f>
        <v>20</v>
      </c>
      <c r="J234" s="22">
        <f>[2]Base!J234</f>
        <v>40750</v>
      </c>
      <c r="K234" s="23">
        <f>[2]Base!BL234</f>
        <v>1394</v>
      </c>
      <c r="L234" s="23">
        <f>[2]Base!DZ234</f>
        <v>1604</v>
      </c>
      <c r="M234" s="24">
        <f>[2]Base!AO234</f>
        <v>371134040</v>
      </c>
      <c r="N234" s="24">
        <f>[2]Base!AP234</f>
        <v>0</v>
      </c>
      <c r="O234" s="25">
        <f>[2]Base!AQ234</f>
        <v>371134040</v>
      </c>
      <c r="P234" s="26">
        <f>[2]Base!EF234</f>
        <v>0.11937944182078458</v>
      </c>
      <c r="Q234" s="26">
        <f>[2]Base!EH234</f>
        <v>0.35915771576161376</v>
      </c>
      <c r="R234" s="26">
        <f>[2]Base!EJ234</f>
        <v>0.42445698863183473</v>
      </c>
      <c r="S234" s="27">
        <f>[2]Base!EL234</f>
        <v>9.7005853785766927E-2</v>
      </c>
      <c r="T234" s="1"/>
    </row>
    <row r="235" spans="2:20" ht="13.8" thickBot="1" x14ac:dyDescent="0.3">
      <c r="B235" s="61" t="str">
        <f>[2]Base!A235</f>
        <v>TIM PART S/A</v>
      </c>
      <c r="C235" s="62" t="str">
        <f>[2]Base!C235</f>
        <v>NM</v>
      </c>
      <c r="D235" s="62" t="str">
        <f>[2]Base!EQ235</f>
        <v xml:space="preserve">Telefonia móvel </v>
      </c>
      <c r="E235" s="62" t="str">
        <f>[2]Base!M235</f>
        <v>Itaú BBA</v>
      </c>
      <c r="F235" s="62" t="str">
        <f>[2]Base!F235</f>
        <v>FOLLOW-ON</v>
      </c>
      <c r="G235" s="62" t="str">
        <f>[2]Base!G235</f>
        <v>ICVM 400</v>
      </c>
      <c r="H235" s="63">
        <f>[2]Base!X235</f>
        <v>40820</v>
      </c>
      <c r="I235" s="64">
        <f>[2]Base!W235</f>
        <v>8.6</v>
      </c>
      <c r="J235" s="65">
        <f>[2]Base!J235</f>
        <v>40822</v>
      </c>
      <c r="K235" s="66">
        <f>[2]Base!BL235</f>
        <v>650</v>
      </c>
      <c r="L235" s="66">
        <f>[2]Base!DZ235</f>
        <v>988</v>
      </c>
      <c r="M235" s="67">
        <f>[2]Base!AO235</f>
        <v>1722221964.8</v>
      </c>
      <c r="N235" s="67">
        <f>[2]Base!AP235</f>
        <v>0</v>
      </c>
      <c r="O235" s="68">
        <f>[2]Base!AQ235</f>
        <v>1722221964.8</v>
      </c>
      <c r="P235" s="69">
        <f>[2]Base!EF235</f>
        <v>2.4841318990475345E-2</v>
      </c>
      <c r="Q235" s="69">
        <f>[2]Base!EH235</f>
        <v>7.5799673949205462E-2</v>
      </c>
      <c r="R235" s="69">
        <f>[2]Base!EJ235</f>
        <v>0.21454081759020427</v>
      </c>
      <c r="S235" s="70">
        <f>[2]Base!EL235</f>
        <v>0.68481818947011508</v>
      </c>
      <c r="T235" s="1"/>
    </row>
    <row r="236" spans="2:20" ht="13.8" thickTop="1" x14ac:dyDescent="0.25">
      <c r="B236" s="40" t="str">
        <f>[2]Base!A236</f>
        <v>QUALICORP</v>
      </c>
      <c r="C236" s="41" t="str">
        <f>[2]Base!C236</f>
        <v>NM</v>
      </c>
      <c r="D236" s="41" t="str">
        <f>[2]Base!EQ236</f>
        <v>Serv. Méd. Hospit., Análises e Diagnósticos</v>
      </c>
      <c r="E236" s="41" t="str">
        <f>[2]Base!M236</f>
        <v>Credit Suisse</v>
      </c>
      <c r="F236" s="41" t="str">
        <f>[2]Base!F236</f>
        <v>FOLLOW-ON</v>
      </c>
      <c r="G236" s="41" t="str">
        <f>[2]Base!G236</f>
        <v>ICVM 400</v>
      </c>
      <c r="H236" s="42">
        <f>[2]Base!X236</f>
        <v>41016</v>
      </c>
      <c r="I236" s="43">
        <f>[2]Base!W236</f>
        <v>16.5</v>
      </c>
      <c r="J236" s="44">
        <f>[2]Base!J236</f>
        <v>41017</v>
      </c>
      <c r="K236" s="45">
        <f>[2]Base!BL236</f>
        <v>731</v>
      </c>
      <c r="L236" s="45">
        <f>[2]Base!DZ236</f>
        <v>1077</v>
      </c>
      <c r="M236" s="71" t="str">
        <f>[2]Base!AO236</f>
        <v>-</v>
      </c>
      <c r="N236" s="46">
        <f>[2]Base!AP236</f>
        <v>758544451.5</v>
      </c>
      <c r="O236" s="47">
        <f>[2]Base!AQ236</f>
        <v>758544451.5</v>
      </c>
      <c r="P236" s="48">
        <f>[2]Base!EF236</f>
        <v>6.4739987093557952E-2</v>
      </c>
      <c r="Q236" s="48">
        <f>[2]Base!EH236</f>
        <v>0.27328648187996141</v>
      </c>
      <c r="R236" s="48">
        <f>[2]Base!EJ236</f>
        <v>0.66053660337135822</v>
      </c>
      <c r="S236" s="49">
        <f>[2]Base!EL236</f>
        <v>1.4369276551223973E-3</v>
      </c>
      <c r="T236" s="1"/>
    </row>
    <row r="237" spans="2:20" ht="13.2" x14ac:dyDescent="0.25">
      <c r="B237" s="18" t="str">
        <f>[2]Base!A237</f>
        <v>LOCAMERICA</v>
      </c>
      <c r="C237" s="19" t="str">
        <f>[2]Base!C237</f>
        <v>NM</v>
      </c>
      <c r="D237" s="19" t="str">
        <f>[2]Base!EQ237</f>
        <v>Aluguel de carros</v>
      </c>
      <c r="E237" s="19" t="str">
        <f>[2]Base!M237</f>
        <v>Itaú BBA</v>
      </c>
      <c r="F237" s="19" t="str">
        <f>[2]Base!F237</f>
        <v>IPO</v>
      </c>
      <c r="G237" s="19" t="str">
        <f>[2]Base!G237</f>
        <v>ICVM 400</v>
      </c>
      <c r="H237" s="20">
        <f>[2]Base!X237</f>
        <v>41018</v>
      </c>
      <c r="I237" s="21">
        <f>[2]Base!W237</f>
        <v>9</v>
      </c>
      <c r="J237" s="22">
        <f>[2]Base!J237</f>
        <v>41022</v>
      </c>
      <c r="K237" s="23">
        <f>[2]Base!BL237</f>
        <v>239</v>
      </c>
      <c r="L237" s="23">
        <f>[2]Base!DZ237</f>
        <v>391</v>
      </c>
      <c r="M237" s="24">
        <f>[2]Base!AO237</f>
        <v>163636362</v>
      </c>
      <c r="N237" s="24">
        <f>[2]Base!AP237</f>
        <v>109343196</v>
      </c>
      <c r="O237" s="25">
        <f>[2]Base!AQ237</f>
        <v>272979558</v>
      </c>
      <c r="P237" s="26">
        <f>[2]Base!EF237</f>
        <v>4.8338496074748306E-2</v>
      </c>
      <c r="Q237" s="26">
        <f>[2]Base!EH237</f>
        <v>0.48627252196232712</v>
      </c>
      <c r="R237" s="26">
        <f>[2]Base!EJ237</f>
        <v>0.4629975861543783</v>
      </c>
      <c r="S237" s="27">
        <f>[2]Base!EL237</f>
        <v>2.3913958085462757E-3</v>
      </c>
      <c r="T237" s="1"/>
    </row>
    <row r="238" spans="2:20" ht="13.2" x14ac:dyDescent="0.25">
      <c r="B238" s="18" t="str">
        <f>[2]Base!A238</f>
        <v>FIBRIA</v>
      </c>
      <c r="C238" s="19" t="str">
        <f>[2]Base!C238</f>
        <v>NM</v>
      </c>
      <c r="D238" s="19" t="str">
        <f>[2]Base!EQ238</f>
        <v>Papel e Celulose</v>
      </c>
      <c r="E238" s="19" t="str">
        <f>[2]Base!M238</f>
        <v>Itaú BBA</v>
      </c>
      <c r="F238" s="19" t="str">
        <f>[2]Base!F238</f>
        <v>FOLLOW-ON</v>
      </c>
      <c r="G238" s="19" t="str">
        <f>[2]Base!G238</f>
        <v>ICVM 400</v>
      </c>
      <c r="H238" s="20">
        <f>[2]Base!X238</f>
        <v>41023</v>
      </c>
      <c r="I238" s="21">
        <f>[2]Base!W238</f>
        <v>15.83</v>
      </c>
      <c r="J238" s="22">
        <f>[2]Base!J238</f>
        <v>41024</v>
      </c>
      <c r="K238" s="23">
        <f>[2]Base!BL238</f>
        <v>847</v>
      </c>
      <c r="L238" s="23">
        <f>[2]Base!DZ238</f>
        <v>949</v>
      </c>
      <c r="M238" s="24">
        <f>[2]Base!AO238</f>
        <v>1361380000</v>
      </c>
      <c r="N238" s="24">
        <f>[2]Base!AP238</f>
        <v>0</v>
      </c>
      <c r="O238" s="25">
        <f>[2]Base!AQ238</f>
        <v>1361380000</v>
      </c>
      <c r="P238" s="26">
        <f>[2]Base!EF238</f>
        <v>3.4337870507847944E-2</v>
      </c>
      <c r="Q238" s="26">
        <f>[2]Base!EH238</f>
        <v>5.6549866989433657E-2</v>
      </c>
      <c r="R238" s="26">
        <f>[2]Base!EJ238</f>
        <v>0.32254015163034122</v>
      </c>
      <c r="S238" s="27">
        <f>[2]Base!EL238</f>
        <v>0.58657211087237715</v>
      </c>
      <c r="T238" s="1"/>
    </row>
    <row r="239" spans="2:20" ht="13.2" x14ac:dyDescent="0.25">
      <c r="B239" s="18" t="str">
        <f>[2]Base!A239</f>
        <v>BTG PACTUAL</v>
      </c>
      <c r="C239" s="19" t="str">
        <f>[2]Base!C239</f>
        <v>BÁSICO</v>
      </c>
      <c r="D239" s="19" t="str">
        <f>[2]Base!EQ239</f>
        <v>Bancos</v>
      </c>
      <c r="E239" s="19" t="str">
        <f>[2]Base!M239</f>
        <v>BTG Pactual</v>
      </c>
      <c r="F239" s="19" t="str">
        <f>[2]Base!F239</f>
        <v>IPO</v>
      </c>
      <c r="G239" s="19" t="str">
        <f>[2]Base!G239</f>
        <v>ICVM 400</v>
      </c>
      <c r="H239" s="20">
        <f>[2]Base!X239</f>
        <v>41023</v>
      </c>
      <c r="I239" s="21">
        <f>[2]Base!W239</f>
        <v>31.25</v>
      </c>
      <c r="J239" s="22">
        <f>[2]Base!J239</f>
        <v>41025</v>
      </c>
      <c r="K239" s="23">
        <f>[2]Base!BL239</f>
        <v>6122</v>
      </c>
      <c r="L239" s="23">
        <f>[2]Base!DZ239</f>
        <v>7221</v>
      </c>
      <c r="M239" s="24">
        <f>[2]Base!AO239</f>
        <v>2587500000</v>
      </c>
      <c r="N239" s="24">
        <f>[2]Base!AP239</f>
        <v>646875000</v>
      </c>
      <c r="O239" s="25">
        <f>[2]Base!AQ239</f>
        <v>3234375000</v>
      </c>
      <c r="P239" s="26">
        <f>[2]Base!EF239</f>
        <v>9.7693487179487185E-2</v>
      </c>
      <c r="Q239" s="26">
        <f>[2]Base!EH239</f>
        <v>0.14050422222222222</v>
      </c>
      <c r="R239" s="26">
        <f>[2]Base!EJ239</f>
        <v>0.67565964957264957</v>
      </c>
      <c r="S239" s="27">
        <f>[2]Base!EL239</f>
        <v>8.6142641025641023E-2</v>
      </c>
      <c r="T239" s="1"/>
    </row>
    <row r="240" spans="2:20" ht="13.2" x14ac:dyDescent="0.25">
      <c r="B240" s="18" t="str">
        <f>[2]Base!A240</f>
        <v>UNICASA</v>
      </c>
      <c r="C240" s="19" t="str">
        <f>[2]Base!C240</f>
        <v>NM</v>
      </c>
      <c r="D240" s="19" t="str">
        <f>[2]Base!EQ240</f>
        <v xml:space="preserve">Móveis </v>
      </c>
      <c r="E240" s="19" t="str">
        <f>[2]Base!M240</f>
        <v>BTG Pactual</v>
      </c>
      <c r="F240" s="19" t="str">
        <f>[2]Base!F240</f>
        <v>IPO</v>
      </c>
      <c r="G240" s="19" t="str">
        <f>[2]Base!G240</f>
        <v>ICVM 400</v>
      </c>
      <c r="H240" s="20">
        <f>[2]Base!X240</f>
        <v>41024</v>
      </c>
      <c r="I240" s="21">
        <f>[2]Base!W240</f>
        <v>14</v>
      </c>
      <c r="J240" s="22">
        <f>[2]Base!J240</f>
        <v>41026</v>
      </c>
      <c r="K240" s="23">
        <f>[2]Base!BL240</f>
        <v>774</v>
      </c>
      <c r="L240" s="23">
        <f>[2]Base!DZ240</f>
        <v>1040</v>
      </c>
      <c r="M240" s="24">
        <f>[2]Base!AO240</f>
        <v>127909096</v>
      </c>
      <c r="N240" s="24">
        <f>[2]Base!AP240</f>
        <v>297687082</v>
      </c>
      <c r="O240" s="25">
        <f>[2]Base!AQ240</f>
        <v>425596178</v>
      </c>
      <c r="P240" s="26">
        <f>[2]Base!EF240</f>
        <v>3.8061361537884864E-2</v>
      </c>
      <c r="Q240" s="26">
        <f>[2]Base!EH240</f>
        <v>0.50769130262255313</v>
      </c>
      <c r="R240" s="26">
        <f>[2]Base!EJ240</f>
        <v>0.45133494126443963</v>
      </c>
      <c r="S240" s="27">
        <f>[2]Base!EL240</f>
        <v>2.9123945751223356E-3</v>
      </c>
      <c r="T240" s="1"/>
    </row>
    <row r="241" spans="2:19" ht="13.2" x14ac:dyDescent="0.25">
      <c r="B241" s="18" t="str">
        <f>[2]Base!A241</f>
        <v>BR PHARMA</v>
      </c>
      <c r="C241" s="19" t="str">
        <f>[2]Base!C241</f>
        <v>NM</v>
      </c>
      <c r="D241" s="19" t="str">
        <f>[2]Base!EQ241</f>
        <v>Medicamento</v>
      </c>
      <c r="E241" s="19" t="str">
        <f>[2]Base!M241</f>
        <v>BTG Pactual</v>
      </c>
      <c r="F241" s="19" t="str">
        <f>[2]Base!F241</f>
        <v>FOLLOW-ON</v>
      </c>
      <c r="G241" s="19" t="str">
        <f>[2]Base!G241</f>
        <v>ICVM 400</v>
      </c>
      <c r="H241" s="20">
        <f>[2]Base!X241</f>
        <v>41081</v>
      </c>
      <c r="I241" s="21">
        <f>[2]Base!W241</f>
        <v>9.25</v>
      </c>
      <c r="J241" s="22">
        <f>[2]Base!J241</f>
        <v>41085</v>
      </c>
      <c r="K241" s="23">
        <f>[2]Base!BL241</f>
        <v>18</v>
      </c>
      <c r="L241" s="23">
        <f>[2]Base!DZ241</f>
        <v>384</v>
      </c>
      <c r="M241" s="24">
        <f>[2]Base!AO241</f>
        <v>488400000</v>
      </c>
      <c r="N241" s="24">
        <f>[2]Base!AP241</f>
        <v>64750000</v>
      </c>
      <c r="O241" s="25">
        <f>[2]Base!AQ241</f>
        <v>553150000</v>
      </c>
      <c r="P241" s="26">
        <f>[2]Base!EF241</f>
        <v>3.278344481605351E-3</v>
      </c>
      <c r="Q241" s="26">
        <f>[2]Base!EH241</f>
        <v>0.32102429765886287</v>
      </c>
      <c r="R241" s="26">
        <f>[2]Base!EJ241</f>
        <v>0.44901657190635452</v>
      </c>
      <c r="S241" s="27">
        <f>[2]Base!EL241</f>
        <v>0.22668078595317726</v>
      </c>
    </row>
    <row r="242" spans="2:19" ht="13.2" x14ac:dyDescent="0.25">
      <c r="B242" s="18" t="str">
        <f>[2]Base!A242</f>
        <v>SUZANO PAPEL</v>
      </c>
      <c r="C242" s="19" t="str">
        <f>[2]Base!C242</f>
        <v>N1</v>
      </c>
      <c r="D242" s="19" t="str">
        <f>[2]Base!EQ242</f>
        <v>Papel e Celulose</v>
      </c>
      <c r="E242" s="19" t="str">
        <f>[2]Base!M242</f>
        <v>BTG Pactual</v>
      </c>
      <c r="F242" s="19" t="str">
        <f>[2]Base!F242</f>
        <v>FOLLOW-ON</v>
      </c>
      <c r="G242" s="19" t="str">
        <f>[2]Base!G242</f>
        <v>ICVM 400</v>
      </c>
      <c r="H242" s="20">
        <f>[2]Base!X242</f>
        <v>41087</v>
      </c>
      <c r="I242" s="21">
        <f>[2]Base!W242</f>
        <v>4</v>
      </c>
      <c r="J242" s="22">
        <f>[2]Base!J242</f>
        <v>41089</v>
      </c>
      <c r="K242" s="23">
        <f>[2]Base!BL242</f>
        <v>281</v>
      </c>
      <c r="L242" s="23">
        <f>[2]Base!DZ242</f>
        <v>484</v>
      </c>
      <c r="M242" s="24">
        <f>[2]Base!AO242</f>
        <v>1463368856</v>
      </c>
      <c r="N242" s="24">
        <f>[2]Base!AP242</f>
        <v>0</v>
      </c>
      <c r="O242" s="25">
        <f>[2]Base!AQ242</f>
        <v>1463368856</v>
      </c>
      <c r="P242" s="26">
        <f>[2]Base!EF242</f>
        <v>0.12004917147788391</v>
      </c>
      <c r="Q242" s="26">
        <f>[2]Base!EH242</f>
        <v>0.15703294961631589</v>
      </c>
      <c r="R242" s="26">
        <f>[2]Base!EJ242</f>
        <v>9.8991528099804299E-2</v>
      </c>
      <c r="S242" s="27">
        <f>[2]Base!EL242</f>
        <v>0.6239263508059959</v>
      </c>
    </row>
    <row r="243" spans="2:19" ht="13.2" x14ac:dyDescent="0.25">
      <c r="B243" s="51" t="str">
        <f>[2]Base!A243</f>
        <v>TAESA</v>
      </c>
      <c r="C243" s="52" t="str">
        <f>[2]Base!C243</f>
        <v>N2</v>
      </c>
      <c r="D243" s="52" t="str">
        <f>[2]Base!EQ243</f>
        <v>Energia Elétrica</v>
      </c>
      <c r="E243" s="52" t="str">
        <f>[2]Base!M243</f>
        <v>BTG Pactual</v>
      </c>
      <c r="F243" s="52" t="str">
        <f>[2]Base!F243</f>
        <v>FOLLOW-ON</v>
      </c>
      <c r="G243" s="52" t="str">
        <f>[2]Base!G243</f>
        <v>ICVM 400</v>
      </c>
      <c r="H243" s="53">
        <f>[2]Base!X243</f>
        <v>41109</v>
      </c>
      <c r="I243" s="54">
        <f>[2]Base!W243</f>
        <v>65</v>
      </c>
      <c r="J243" s="55">
        <f>[2]Base!J243</f>
        <v>41110</v>
      </c>
      <c r="K243" s="56">
        <f>[2]Base!BL243</f>
        <v>1547</v>
      </c>
      <c r="L243" s="56">
        <f>[2]Base!DZ243</f>
        <v>2184</v>
      </c>
      <c r="M243" s="57">
        <f>[2]Base!AO243</f>
        <v>1755000000</v>
      </c>
      <c r="N243" s="57">
        <f>[2]Base!AP243</f>
        <v>0</v>
      </c>
      <c r="O243" s="58">
        <f>[2]Base!AQ243</f>
        <v>1755000000</v>
      </c>
      <c r="P243" s="59">
        <f>[2]Base!EF243</f>
        <v>3.8474296296296298E-2</v>
      </c>
      <c r="Q243" s="59">
        <f>[2]Base!EH243</f>
        <v>0.3166977777777778</v>
      </c>
      <c r="R243" s="59">
        <f>[2]Base!EJ243</f>
        <v>0.54748325925925923</v>
      </c>
      <c r="S243" s="60">
        <f>[2]Base!EL243</f>
        <v>9.7344666666666663E-2</v>
      </c>
    </row>
    <row r="244" spans="2:19" ht="13.2" x14ac:dyDescent="0.25">
      <c r="B244" s="51" t="str">
        <f>[2]Base!A244</f>
        <v>MINERVA</v>
      </c>
      <c r="C244" s="19" t="str">
        <f>[2]Base!C244</f>
        <v>NM</v>
      </c>
      <c r="D244" s="19" t="str">
        <f>[2]Base!EQ244</f>
        <v>Carnes e Derivados</v>
      </c>
      <c r="E244" s="19" t="str">
        <f>[2]Base!M244</f>
        <v>BTG Pactual</v>
      </c>
      <c r="F244" s="19" t="str">
        <f>[2]Base!F244</f>
        <v>FOLLOW-ON</v>
      </c>
      <c r="G244" s="19" t="str">
        <f>[2]Base!G244</f>
        <v>ICVM 400</v>
      </c>
      <c r="H244" s="20">
        <f>[2]Base!X244</f>
        <v>41241</v>
      </c>
      <c r="I244" s="21">
        <f>[2]Base!W244</f>
        <v>11</v>
      </c>
      <c r="J244" s="22">
        <f>[2]Base!J244</f>
        <v>41243</v>
      </c>
      <c r="K244" s="56">
        <f>[2]Base!BL244</f>
        <v>1142</v>
      </c>
      <c r="L244" s="56">
        <f>[2]Base!DZ244</f>
        <v>1483</v>
      </c>
      <c r="M244" s="24">
        <f>[2]Base!AO244</f>
        <v>415391900</v>
      </c>
      <c r="N244" s="24">
        <f>[2]Base!AP244</f>
        <v>82500000</v>
      </c>
      <c r="O244" s="25">
        <f>[2]Base!AQ244</f>
        <v>497891900</v>
      </c>
      <c r="P244" s="59">
        <f>[2]Base!EF244</f>
        <v>9.5067259259259254E-2</v>
      </c>
      <c r="Q244" s="59">
        <f>[2]Base!EH244</f>
        <v>0.41931348148148151</v>
      </c>
      <c r="R244" s="59">
        <f>[2]Base!EJ244</f>
        <v>0.43512325925925927</v>
      </c>
      <c r="S244" s="60">
        <f>[2]Base!EL244</f>
        <v>5.0495999999999999E-2</v>
      </c>
    </row>
    <row r="245" spans="2:19" ht="13.2" x14ac:dyDescent="0.25">
      <c r="B245" s="51" t="str">
        <f>[2]Base!A245</f>
        <v>MARFRIG</v>
      </c>
      <c r="C245" s="52" t="str">
        <f>[2]Base!C245</f>
        <v>NM</v>
      </c>
      <c r="D245" s="52" t="str">
        <f>[2]Base!EQ245</f>
        <v>Carnes e Derivados</v>
      </c>
      <c r="E245" s="52" t="str">
        <f>[2]Base!M245</f>
        <v>Itaú BBA</v>
      </c>
      <c r="F245" s="52" t="str">
        <f>[2]Base!F245</f>
        <v>FOLLOW-ON</v>
      </c>
      <c r="G245" s="52" t="str">
        <f>[2]Base!G245</f>
        <v>ICVM 400</v>
      </c>
      <c r="H245" s="53">
        <f>[2]Base!X245</f>
        <v>41247</v>
      </c>
      <c r="I245" s="54">
        <f>[2]Base!W245</f>
        <v>8</v>
      </c>
      <c r="J245" s="55">
        <f>[2]Base!J245</f>
        <v>41249</v>
      </c>
      <c r="K245" s="72">
        <f>[2]Base!BL245</f>
        <v>2439</v>
      </c>
      <c r="L245" s="72">
        <f>[2]Base!DZ245</f>
        <v>2881</v>
      </c>
      <c r="M245" s="57">
        <f>[2]Base!AO245</f>
        <v>1050000000.0000001</v>
      </c>
      <c r="N245" s="57">
        <f>[2]Base!AP245</f>
        <v>0</v>
      </c>
      <c r="O245" s="58">
        <f>[2]Base!AQ245</f>
        <v>1050000000.0000001</v>
      </c>
      <c r="P245" s="26">
        <f>[2]Base!EF245</f>
        <v>3.1339489523809522E-2</v>
      </c>
      <c r="Q245" s="26">
        <f>[2]Base!EH245</f>
        <v>0.25312121142857141</v>
      </c>
      <c r="R245" s="26">
        <f>[2]Base!EJ245</f>
        <v>0.53749121523809529</v>
      </c>
      <c r="S245" s="27">
        <f>[2]Base!EL245</f>
        <v>0.1780480838095238</v>
      </c>
    </row>
    <row r="246" spans="2:19" ht="13.2" x14ac:dyDescent="0.25">
      <c r="B246" s="18" t="str">
        <f>[2]Base!A246</f>
        <v>EQUATORIAL</v>
      </c>
      <c r="C246" s="19" t="str">
        <f>[2]Base!C246</f>
        <v>NM</v>
      </c>
      <c r="D246" s="19" t="str">
        <f>[2]Base!EQ246</f>
        <v>Energia Elétrica</v>
      </c>
      <c r="E246" s="19" t="str">
        <f>[2]Base!M246</f>
        <v>BTG Pactual</v>
      </c>
      <c r="F246" s="19" t="str">
        <f>[2]Base!F246</f>
        <v>FOLLOW-ON</v>
      </c>
      <c r="G246" s="19" t="str">
        <f>[2]Base!G246</f>
        <v>ICVM 400</v>
      </c>
      <c r="H246" s="20">
        <f>[2]Base!X246</f>
        <v>41250</v>
      </c>
      <c r="I246" s="21">
        <f>[2]Base!W246</f>
        <v>16</v>
      </c>
      <c r="J246" s="22">
        <f>[2]Base!J246</f>
        <v>41253</v>
      </c>
      <c r="K246" s="72">
        <f>[2]Base!BL246</f>
        <v>3146</v>
      </c>
      <c r="L246" s="72">
        <f>[2]Base!DZ246</f>
        <v>3554</v>
      </c>
      <c r="M246" s="24">
        <f>[2]Base!AO246</f>
        <v>1210113984</v>
      </c>
      <c r="N246" s="24">
        <f>[2]Base!AP246</f>
        <v>210454608</v>
      </c>
      <c r="O246" s="25">
        <f>[2]Base!AQ246</f>
        <v>1420568592</v>
      </c>
      <c r="P246" s="26">
        <f>[2]Base!EF246</f>
        <v>6.7058207915102211E-2</v>
      </c>
      <c r="Q246" s="26">
        <f>[2]Base!EH246</f>
        <v>0.51489046014330009</v>
      </c>
      <c r="R246" s="26">
        <f>[2]Base!EJ246</f>
        <v>0.41591203080745009</v>
      </c>
      <c r="S246" s="27">
        <f>[2]Base!EL246</f>
        <v>4.2392602750152874E-3</v>
      </c>
    </row>
    <row r="247" spans="2:19" ht="13.8" thickBot="1" x14ac:dyDescent="0.3">
      <c r="B247" s="61" t="str">
        <f>[2]Base!A247</f>
        <v>ALIANSCE</v>
      </c>
      <c r="C247" s="62" t="str">
        <f>[2]Base!C247</f>
        <v>NM</v>
      </c>
      <c r="D247" s="62" t="str">
        <f>[2]Base!EQ247</f>
        <v xml:space="preserve">Exploração de Imóveis </v>
      </c>
      <c r="E247" s="62" t="str">
        <f>[2]Base!M247</f>
        <v>Itaú BBA</v>
      </c>
      <c r="F247" s="62" t="str">
        <f>[2]Base!F247</f>
        <v>FOLLOW-ON</v>
      </c>
      <c r="G247" s="62" t="str">
        <f>[2]Base!G247</f>
        <v>ICVM 400</v>
      </c>
      <c r="H247" s="63">
        <f>[2]Base!X247</f>
        <v>41255</v>
      </c>
      <c r="I247" s="64">
        <f>[2]Base!W247</f>
        <v>23.25</v>
      </c>
      <c r="J247" s="65">
        <f>[2]Base!J247</f>
        <v>41257</v>
      </c>
      <c r="K247" s="66">
        <f>[2]Base!BL247</f>
        <v>3613</v>
      </c>
      <c r="L247" s="66">
        <f>[2]Base!DZ247</f>
        <v>3998</v>
      </c>
      <c r="M247" s="67">
        <f>[2]Base!AO247</f>
        <v>447629692.5</v>
      </c>
      <c r="N247" s="67">
        <f>[2]Base!AP247</f>
        <v>0</v>
      </c>
      <c r="O247" s="68">
        <f>[2]Base!AQ247</f>
        <v>447629692.5</v>
      </c>
      <c r="P247" s="69">
        <f>[2]Base!EF247</f>
        <v>0.10899973977932663</v>
      </c>
      <c r="Q247" s="69">
        <f>[2]Base!EH247</f>
        <v>0.36462598602079999</v>
      </c>
      <c r="R247" s="69">
        <f>[2]Base!EJ247</f>
        <v>0.52315101784719076</v>
      </c>
      <c r="S247" s="70">
        <f>[2]Base!EL247</f>
        <v>3.2232563526826364E-3</v>
      </c>
    </row>
    <row r="248" spans="2:19" ht="13.8" thickTop="1" x14ac:dyDescent="0.25">
      <c r="B248" s="73" t="str">
        <f>[2]Base!A248</f>
        <v>ESTACIO PART</v>
      </c>
      <c r="C248" s="74" t="str">
        <f>[2]Base!C248</f>
        <v>NM</v>
      </c>
      <c r="D248" s="74" t="str">
        <f>[2]Base!EQ248</f>
        <v>Serviços Educacionais</v>
      </c>
      <c r="E248" s="74" t="str">
        <f>[2]Base!M248</f>
        <v>Credit Suisse</v>
      </c>
      <c r="F248" s="74" t="str">
        <f>[2]Base!F248</f>
        <v>FOLLOW-ON</v>
      </c>
      <c r="G248" s="74" t="str">
        <f>[2]Base!G248</f>
        <v>ICVM 400</v>
      </c>
      <c r="H248" s="75">
        <f>[2]Base!X248</f>
        <v>41297</v>
      </c>
      <c r="I248" s="76">
        <f>[2]Base!W248</f>
        <v>42</v>
      </c>
      <c r="J248" s="77">
        <f>[2]Base!J248</f>
        <v>41302</v>
      </c>
      <c r="K248" s="78">
        <f>[2]Base!BL248</f>
        <v>6213</v>
      </c>
      <c r="L248" s="79">
        <f>[2]Base!DZ248</f>
        <v>6708</v>
      </c>
      <c r="M248" s="80">
        <f>[2]Base!AO248</f>
        <v>616858200</v>
      </c>
      <c r="N248" s="81">
        <f>[2]Base!AP248</f>
        <v>151826346</v>
      </c>
      <c r="O248" s="82">
        <f>[2]Base!AQ248</f>
        <v>768684546</v>
      </c>
      <c r="P248" s="83">
        <f>[2]Base!EF248</f>
        <v>0.10314023927313351</v>
      </c>
      <c r="Q248" s="84">
        <f>[2]Base!EH248</f>
        <v>0.34422896541489728</v>
      </c>
      <c r="R248" s="84">
        <f>[2]Base!EJ248</f>
        <v>0.55040502921727785</v>
      </c>
      <c r="S248" s="85">
        <f>[2]Base!EL248</f>
        <v>2.2257660946913326E-3</v>
      </c>
    </row>
    <row r="249" spans="2:19" ht="13.2" x14ac:dyDescent="0.25">
      <c r="B249" s="18" t="str">
        <f>[2]Base!A249</f>
        <v>LINX</v>
      </c>
      <c r="C249" s="19" t="str">
        <f>[2]Base!C249</f>
        <v>NM</v>
      </c>
      <c r="D249" s="19" t="str">
        <f>[2]Base!EQ249</f>
        <v>Programas e Serviços</v>
      </c>
      <c r="E249" s="19" t="str">
        <f>[2]Base!M249</f>
        <v>Credit Suisse</v>
      </c>
      <c r="F249" s="19" t="str">
        <f>[2]Base!F249</f>
        <v>IPO</v>
      </c>
      <c r="G249" s="19" t="str">
        <f>[2]Base!G249</f>
        <v>ICVM 400</v>
      </c>
      <c r="H249" s="20">
        <f>[2]Base!X249</f>
        <v>41311</v>
      </c>
      <c r="I249" s="21">
        <f>[2]Base!W249</f>
        <v>27</v>
      </c>
      <c r="J249" s="22">
        <f>[2]Base!J249</f>
        <v>41313</v>
      </c>
      <c r="K249" s="72">
        <f>[2]Base!BL249</f>
        <v>6247</v>
      </c>
      <c r="L249" s="72">
        <f>[2]Base!DZ249</f>
        <v>6923</v>
      </c>
      <c r="M249" s="24">
        <f>[2]Base!AO249</f>
        <v>343102500</v>
      </c>
      <c r="N249" s="24">
        <f>[2]Base!AP249</f>
        <v>184747500</v>
      </c>
      <c r="O249" s="25">
        <f>[2]Base!AQ249</f>
        <v>527850000</v>
      </c>
      <c r="P249" s="26">
        <f>[2]Base!EF249</f>
        <v>0.11018925831202046</v>
      </c>
      <c r="Q249" s="26">
        <f>[2]Base!EH249</f>
        <v>0.26624680306905368</v>
      </c>
      <c r="R249" s="26">
        <f>[2]Base!EJ249</f>
        <v>0.6218769309462916</v>
      </c>
      <c r="S249" s="27">
        <f>[2]Base!EL249</f>
        <v>1.6870076726342711E-3</v>
      </c>
    </row>
    <row r="250" spans="2:19" ht="13.2" x14ac:dyDescent="0.25">
      <c r="B250" s="18" t="str">
        <f>[2]Base!A250</f>
        <v>SENIOR SOL</v>
      </c>
      <c r="C250" s="19" t="str">
        <f>[2]Base!C250</f>
        <v>MA</v>
      </c>
      <c r="D250" s="19" t="str">
        <f>[2]Base!EQ250</f>
        <v>Programas e Serviços</v>
      </c>
      <c r="E250" s="19" t="str">
        <f>[2]Base!M250</f>
        <v>Banco Votorantim</v>
      </c>
      <c r="F250" s="19" t="str">
        <f>[2]Base!F250</f>
        <v>IPO</v>
      </c>
      <c r="G250" s="19" t="str">
        <f>[2]Base!G250</f>
        <v>ICVM 400</v>
      </c>
      <c r="H250" s="20">
        <f>[2]Base!X250</f>
        <v>41339</v>
      </c>
      <c r="I250" s="21">
        <f>[2]Base!W250</f>
        <v>11.5</v>
      </c>
      <c r="J250" s="22">
        <f>[2]Base!J250</f>
        <v>41341</v>
      </c>
      <c r="K250" s="72">
        <f>[2]Base!BL250</f>
        <v>1221</v>
      </c>
      <c r="L250" s="72">
        <f>[2]Base!DZ250</f>
        <v>1318</v>
      </c>
      <c r="M250" s="24">
        <f>[2]Base!AO250</f>
        <v>39655162.5</v>
      </c>
      <c r="N250" s="24">
        <f>[2]Base!AP250</f>
        <v>17806830</v>
      </c>
      <c r="O250" s="25">
        <f>[2]Base!AQ250</f>
        <v>57461992.5</v>
      </c>
      <c r="P250" s="26">
        <f>[2]Base!EF250</f>
        <v>0.31035520386469501</v>
      </c>
      <c r="Q250" s="26">
        <f>[2]Base!EH250</f>
        <v>0.45096289090133984</v>
      </c>
      <c r="R250" s="26">
        <f>[2]Base!EJ250</f>
        <v>0.13112350064131076</v>
      </c>
      <c r="S250" s="27">
        <f>[2]Base!EL250</f>
        <v>0.10755840459265438</v>
      </c>
    </row>
    <row r="251" spans="2:19" ht="13.2" x14ac:dyDescent="0.25">
      <c r="B251" s="18" t="str">
        <f>[2]Base!A251</f>
        <v>MULTIPLAN</v>
      </c>
      <c r="C251" s="19" t="str">
        <f>[2]Base!C251</f>
        <v>N2</v>
      </c>
      <c r="D251" s="19" t="str">
        <f>[2]Base!EQ251</f>
        <v>Exploração de Imóveis</v>
      </c>
      <c r="E251" s="19" t="str">
        <f>[2]Base!M251</f>
        <v>Credit Suisse</v>
      </c>
      <c r="F251" s="19" t="str">
        <f>[2]Base!F251</f>
        <v>FOLLOW-ON</v>
      </c>
      <c r="G251" s="19" t="str">
        <f>[2]Base!G251</f>
        <v>ICVM 400</v>
      </c>
      <c r="H251" s="20">
        <f>[2]Base!X251</f>
        <v>41360</v>
      </c>
      <c r="I251" s="21">
        <f>[2]Base!W251</f>
        <v>58</v>
      </c>
      <c r="J251" s="22">
        <f>[2]Base!J251</f>
        <v>41365</v>
      </c>
      <c r="K251" s="72">
        <f>[2]Base!BL251</f>
        <v>8158</v>
      </c>
      <c r="L251" s="72">
        <f>[2]Base!DZ251</f>
        <v>8887</v>
      </c>
      <c r="M251" s="24">
        <f>[2]Base!AO251</f>
        <v>626400000</v>
      </c>
      <c r="N251" s="24">
        <f>[2]Base!AP251</f>
        <v>0</v>
      </c>
      <c r="O251" s="25">
        <f>[2]Base!AQ251</f>
        <v>626400000</v>
      </c>
      <c r="P251" s="26">
        <f>[2]Base!EF251</f>
        <v>0.10256872427983539</v>
      </c>
      <c r="Q251" s="26">
        <f>[2]Base!EH251</f>
        <v>0.24916090534979424</v>
      </c>
      <c r="R251" s="26">
        <f>[2]Base!EJ251</f>
        <v>0.50307950617283947</v>
      </c>
      <c r="S251" s="27">
        <f>[2]Base!EL251</f>
        <v>0.14519086419753086</v>
      </c>
    </row>
    <row r="252" spans="2:19" ht="13.2" x14ac:dyDescent="0.25">
      <c r="B252" s="18" t="str">
        <f>[2]Base!A252</f>
        <v>BIOSEV</v>
      </c>
      <c r="C252" s="19" t="str">
        <f>[2]Base!C252</f>
        <v>NM</v>
      </c>
      <c r="D252" s="19" t="str">
        <f>[2]Base!EQ252</f>
        <v>Açúcar e Álcool</v>
      </c>
      <c r="E252" s="19" t="str">
        <f>[2]Base!M252</f>
        <v>BTG Pactual</v>
      </c>
      <c r="F252" s="19" t="str">
        <f>[2]Base!F252</f>
        <v>IPO</v>
      </c>
      <c r="G252" s="19" t="str">
        <f>[2]Base!G252</f>
        <v>ICVM 400</v>
      </c>
      <c r="H252" s="20">
        <f>[2]Base!X252</f>
        <v>41379</v>
      </c>
      <c r="I252" s="21">
        <f>[2]Base!W252</f>
        <v>15</v>
      </c>
      <c r="J252" s="22">
        <f>[2]Base!J252</f>
        <v>41383</v>
      </c>
      <c r="K252" s="72">
        <f>[2]Base!BL252</f>
        <v>890</v>
      </c>
      <c r="L252" s="72">
        <f>[2]Base!DZ252</f>
        <v>961</v>
      </c>
      <c r="M252" s="24">
        <f>[2]Base!AO252</f>
        <v>700000005</v>
      </c>
      <c r="N252" s="24">
        <f>[2]Base!AP252</f>
        <v>0</v>
      </c>
      <c r="O252" s="25">
        <f>[2]Base!AQ252</f>
        <v>700000005</v>
      </c>
      <c r="P252" s="26">
        <f>[2]Base!EF252</f>
        <v>2.086973870768085E-2</v>
      </c>
      <c r="Q252" s="26">
        <f>[2]Base!EH252</f>
        <v>0.21189738606233138</v>
      </c>
      <c r="R252" s="26">
        <f>[2]Base!EJ252</f>
        <v>0.76653719754712113</v>
      </c>
      <c r="S252" s="27">
        <f>[2]Base!EL252</f>
        <v>6.9567768286663337E-4</v>
      </c>
    </row>
    <row r="253" spans="2:19" ht="13.2" x14ac:dyDescent="0.25">
      <c r="B253" s="18" t="str">
        <f>[2]Base!A253</f>
        <v>BHG</v>
      </c>
      <c r="C253" s="19" t="str">
        <f>[2]Base!C253</f>
        <v>NM</v>
      </c>
      <c r="D253" s="19" t="str">
        <f>[2]Base!EQ253</f>
        <v>Hotelaria</v>
      </c>
      <c r="E253" s="19" t="str">
        <f>[2]Base!M253</f>
        <v>Itaú BBA</v>
      </c>
      <c r="F253" s="19" t="str">
        <f>[2]Base!F253</f>
        <v>FOLLOW-ON</v>
      </c>
      <c r="G253" s="19" t="str">
        <f>[2]Base!G253</f>
        <v>ICVM 400</v>
      </c>
      <c r="H253" s="20">
        <f>[2]Base!X253</f>
        <v>41382</v>
      </c>
      <c r="I253" s="21">
        <f>[2]Base!W253</f>
        <v>17.5</v>
      </c>
      <c r="J253" s="22">
        <f>[2]Base!J253</f>
        <v>41386</v>
      </c>
      <c r="K253" s="72">
        <f>[2]Base!BL253</f>
        <v>3776</v>
      </c>
      <c r="L253" s="72">
        <f>[2]Base!DZ253</f>
        <v>3963</v>
      </c>
      <c r="M253" s="24">
        <f>[2]Base!AO253</f>
        <v>355490520</v>
      </c>
      <c r="N253" s="24">
        <f>[2]Base!AP253</f>
        <v>0</v>
      </c>
      <c r="O253" s="25">
        <f>[2]Base!AQ253</f>
        <v>355490520</v>
      </c>
      <c r="P253" s="26">
        <f>[2]Base!EF253</f>
        <v>0.19179686986311137</v>
      </c>
      <c r="Q253" s="26">
        <f>[2]Base!EH253</f>
        <v>0.20063567535169541</v>
      </c>
      <c r="R253" s="26">
        <f>[2]Base!EJ253</f>
        <v>0.59189922099416914</v>
      </c>
      <c r="S253" s="27">
        <f>[2]Base!EL253</f>
        <v>1.5668233791024031E-2</v>
      </c>
    </row>
    <row r="254" spans="2:19" ht="13.2" x14ac:dyDescent="0.25">
      <c r="B254" s="18" t="str">
        <f>[2]Base!A254</f>
        <v>ALUPAR</v>
      </c>
      <c r="C254" s="19" t="str">
        <f>[2]Base!C254</f>
        <v>N2</v>
      </c>
      <c r="D254" s="19" t="str">
        <f>[2]Base!EQ254</f>
        <v>Energia Elétrica</v>
      </c>
      <c r="E254" s="19" t="str">
        <f>[2]Base!M254</f>
        <v>Itaú BBA</v>
      </c>
      <c r="F254" s="19" t="str">
        <f>[2]Base!F254</f>
        <v>IPO</v>
      </c>
      <c r="G254" s="19" t="str">
        <f>[2]Base!G254</f>
        <v>ICVM 400</v>
      </c>
      <c r="H254" s="20">
        <f>[2]Base!X254</f>
        <v>41386</v>
      </c>
      <c r="I254" s="21">
        <f>[2]Base!W254</f>
        <v>18.5</v>
      </c>
      <c r="J254" s="22">
        <f>[2]Base!J254</f>
        <v>41388</v>
      </c>
      <c r="K254" s="72">
        <f>[2]Base!BL254</f>
        <v>4935</v>
      </c>
      <c r="L254" s="72">
        <f>[2]Base!DZ254</f>
        <v>5310</v>
      </c>
      <c r="M254" s="24">
        <f>[2]Base!AO254</f>
        <v>821226100</v>
      </c>
      <c r="N254" s="24">
        <f>[2]Base!AP254</f>
        <v>0</v>
      </c>
      <c r="O254" s="25">
        <f>[2]Base!AQ254</f>
        <v>821226100</v>
      </c>
      <c r="P254" s="26">
        <f>[2]Base!EF254</f>
        <v>0.14884397826086956</v>
      </c>
      <c r="Q254" s="26">
        <f>[2]Base!EH254</f>
        <v>0.29556986956521741</v>
      </c>
      <c r="R254" s="26">
        <f>[2]Base!EJ254</f>
        <v>0.54857250000000002</v>
      </c>
      <c r="S254" s="27">
        <f>[2]Base!EL254</f>
        <v>7.0136521739130432E-3</v>
      </c>
    </row>
    <row r="255" spans="2:19" ht="13.2" x14ac:dyDescent="0.25">
      <c r="B255" s="18" t="str">
        <f>[2]Base!A255</f>
        <v>ABRIL EDUCA</v>
      </c>
      <c r="C255" s="19" t="str">
        <f>[2]Base!C255</f>
        <v>N2</v>
      </c>
      <c r="D255" s="19" t="str">
        <f>[2]Base!EQ255</f>
        <v xml:space="preserve">Jornais, Livros e Revistas </v>
      </c>
      <c r="E255" s="19" t="str">
        <f>[2]Base!M255</f>
        <v>Itaú BBA</v>
      </c>
      <c r="F255" s="19" t="str">
        <f>[2]Base!F255</f>
        <v>FOLLOW-ON</v>
      </c>
      <c r="G255" s="19" t="str">
        <f>[2]Base!G255</f>
        <v>ICVM 400</v>
      </c>
      <c r="H255" s="20">
        <f>[2]Base!X255</f>
        <v>41388</v>
      </c>
      <c r="I255" s="21">
        <f>[2]Base!W255</f>
        <v>45</v>
      </c>
      <c r="J255" s="22">
        <f>[2]Base!J255</f>
        <v>41390</v>
      </c>
      <c r="K255" s="72">
        <f>[2]Base!BL255</f>
        <v>3026</v>
      </c>
      <c r="L255" s="72">
        <f>[2]Base!DZ255</f>
        <v>3269</v>
      </c>
      <c r="M255" s="24">
        <f>[2]Base!AO255</f>
        <v>126673920</v>
      </c>
      <c r="N255" s="24">
        <f>[2]Base!AP255</f>
        <v>395222535</v>
      </c>
      <c r="O255" s="25">
        <f>[2]Base!AQ255</f>
        <v>521896455</v>
      </c>
      <c r="P255" s="26">
        <f>[2]Base!EF255</f>
        <v>0.12328643514176947</v>
      </c>
      <c r="Q255" s="26">
        <f>[2]Base!EH255</f>
        <v>0.29670598176568308</v>
      </c>
      <c r="R255" s="26">
        <f>[2]Base!EJ255</f>
        <v>0.54130798585114526</v>
      </c>
      <c r="S255" s="27">
        <f>[2]Base!EL255</f>
        <v>3.8699597241402213E-2</v>
      </c>
    </row>
    <row r="256" spans="2:19" ht="13.2" x14ac:dyDescent="0.25">
      <c r="B256" s="18" t="str">
        <f>[2]Base!A256</f>
        <v>BB SEGURIDADE</v>
      </c>
      <c r="C256" s="19" t="str">
        <f>[2]Base!C256</f>
        <v>NM</v>
      </c>
      <c r="D256" s="19" t="str">
        <f>[2]Base!EQ256</f>
        <v>Seguradoras</v>
      </c>
      <c r="E256" s="19" t="str">
        <f>[2]Base!M256</f>
        <v>BB Investimentos</v>
      </c>
      <c r="F256" s="19" t="str">
        <f>[2]Base!F256</f>
        <v>IPO</v>
      </c>
      <c r="G256" s="19" t="str">
        <f>[2]Base!G256</f>
        <v>ICVM 400</v>
      </c>
      <c r="H256" s="20">
        <f>[2]Base!X256</f>
        <v>41389</v>
      </c>
      <c r="I256" s="21">
        <f>[2]Base!W256</f>
        <v>17</v>
      </c>
      <c r="J256" s="22">
        <f>[2]Base!J256</f>
        <v>41393</v>
      </c>
      <c r="K256" s="72">
        <f>[2]Base!BL256</f>
        <v>103359</v>
      </c>
      <c r="L256" s="72">
        <f>[2]Base!DZ256</f>
        <v>114335</v>
      </c>
      <c r="M256" s="24">
        <f>[2]Base!AO256</f>
        <v>0</v>
      </c>
      <c r="N256" s="24">
        <f>[2]Base!AP256</f>
        <v>11475000000</v>
      </c>
      <c r="O256" s="25">
        <f>[2]Base!AQ256</f>
        <v>11475000000</v>
      </c>
      <c r="P256" s="26">
        <f>[2]Base!EF256</f>
        <v>0.16073981925925926</v>
      </c>
      <c r="Q256" s="26">
        <f>[2]Base!EH256</f>
        <v>0.23057455851851852</v>
      </c>
      <c r="R256" s="26">
        <f>[2]Base!EJ256</f>
        <v>0.58362914222222217</v>
      </c>
      <c r="S256" s="27">
        <f>[2]Base!EL256</f>
        <v>2.5056479999999999E-2</v>
      </c>
    </row>
    <row r="257" spans="2:19" ht="13.2" x14ac:dyDescent="0.25">
      <c r="B257" s="18" t="str">
        <f>[2]Base!A257</f>
        <v>SMILES</v>
      </c>
      <c r="C257" s="19" t="str">
        <f>[2]Base!C257</f>
        <v>NM</v>
      </c>
      <c r="D257" s="19" t="str">
        <f>[2]Base!EQ257</f>
        <v xml:space="preserve">Programas de Fidelização </v>
      </c>
      <c r="E257" s="19" t="str">
        <f>[2]Base!M257</f>
        <v>Credit Suisse</v>
      </c>
      <c r="F257" s="19" t="str">
        <f>[2]Base!F257</f>
        <v>IPO</v>
      </c>
      <c r="G257" s="19" t="str">
        <f>[2]Base!G257</f>
        <v>ICVM 400</v>
      </c>
      <c r="H257" s="20">
        <f>[2]Base!X257</f>
        <v>41389</v>
      </c>
      <c r="I257" s="21">
        <f>[2]Base!W257</f>
        <v>21.7</v>
      </c>
      <c r="J257" s="22">
        <f>[2]Base!J257</f>
        <v>41393</v>
      </c>
      <c r="K257" s="72">
        <f>[2]Base!BL257</f>
        <v>3655</v>
      </c>
      <c r="L257" s="72">
        <f>[2]Base!DZ257</f>
        <v>4096</v>
      </c>
      <c r="M257" s="24">
        <f>[2]Base!AO257</f>
        <v>1132173890.3999999</v>
      </c>
      <c r="N257" s="24">
        <f>[2]Base!AP257</f>
        <v>0</v>
      </c>
      <c r="O257" s="25">
        <f>[2]Base!AQ257</f>
        <v>1132173890.3999999</v>
      </c>
      <c r="P257" s="26">
        <f>[2]Base!EF257</f>
        <v>9.4462631055919288E-2</v>
      </c>
      <c r="Q257" s="26">
        <f>[2]Base!EH257</f>
        <v>0.14487493289749867</v>
      </c>
      <c r="R257" s="26">
        <f>[2]Base!EJ257</f>
        <v>0.40182225553644513</v>
      </c>
      <c r="S257" s="27">
        <f>[2]Base!EL257</f>
        <v>0.358840180510137</v>
      </c>
    </row>
    <row r="258" spans="2:19" ht="13.2" x14ac:dyDescent="0.25">
      <c r="B258" s="18" t="str">
        <f>[2]Base!A258</f>
        <v>IGUATEMI</v>
      </c>
      <c r="C258" s="19" t="str">
        <f>[2]Base!C258</f>
        <v>NM</v>
      </c>
      <c r="D258" s="19" t="str">
        <f>[2]Base!EQ258</f>
        <v>Exploração de Imóveis</v>
      </c>
      <c r="E258" s="19" t="str">
        <f>[2]Base!M258</f>
        <v>Itaú BBA</v>
      </c>
      <c r="F258" s="19" t="str">
        <f>[2]Base!F258</f>
        <v>FOLLOW-ON</v>
      </c>
      <c r="G258" s="19" t="str">
        <f>[2]Base!G258</f>
        <v>ICVM 400</v>
      </c>
      <c r="H258" s="20">
        <f>[2]Base!X258</f>
        <v>41429</v>
      </c>
      <c r="I258" s="21">
        <f>[2]Base!W258</f>
        <v>23.5</v>
      </c>
      <c r="J258" s="22">
        <f>[2]Base!J258</f>
        <v>41431</v>
      </c>
      <c r="K258" s="72">
        <f>[2]Base!BL258</f>
        <v>1892</v>
      </c>
      <c r="L258" s="72">
        <f>[2]Base!DZ258</f>
        <v>2082</v>
      </c>
      <c r="M258" s="24">
        <f>[2]Base!AO258</f>
        <v>425364100</v>
      </c>
      <c r="N258" s="24">
        <f>[2]Base!AP258</f>
        <v>0</v>
      </c>
      <c r="O258" s="25">
        <f>[2]Base!AQ258</f>
        <v>425364100</v>
      </c>
      <c r="P258" s="26">
        <f>[2]Base!EF258</f>
        <v>9.7606521739130439E-2</v>
      </c>
      <c r="Q258" s="26">
        <f>[2]Base!EH258</f>
        <v>0.21499217391304348</v>
      </c>
      <c r="R258" s="26">
        <f>[2]Base!EJ258</f>
        <v>0.57553108695652178</v>
      </c>
      <c r="S258" s="27">
        <f>[2]Base!EL258</f>
        <v>0.11187021739130434</v>
      </c>
    </row>
    <row r="259" spans="2:19" ht="13.2" x14ac:dyDescent="0.25">
      <c r="B259" s="18" t="str">
        <f>[2]Base!A259</f>
        <v>CPFL RENOVAV</v>
      </c>
      <c r="C259" s="19" t="str">
        <f>[2]Base!C259</f>
        <v>NM</v>
      </c>
      <c r="D259" s="19" t="str">
        <f>[2]Base!EQ259</f>
        <v>Energia Elétrica</v>
      </c>
      <c r="E259" s="19" t="str">
        <f>[2]Base!M259</f>
        <v>BofA Merrill Lynch</v>
      </c>
      <c r="F259" s="19" t="str">
        <f>[2]Base!F259</f>
        <v>IPO</v>
      </c>
      <c r="G259" s="19" t="str">
        <f>[2]Base!G259</f>
        <v>ICVM 400</v>
      </c>
      <c r="H259" s="20">
        <f>[2]Base!X259</f>
        <v>41472</v>
      </c>
      <c r="I259" s="21">
        <f>[2]Base!W259</f>
        <v>12.51</v>
      </c>
      <c r="J259" s="22">
        <f>[2]Base!J259</f>
        <v>41474</v>
      </c>
      <c r="K259" s="72">
        <f>[2]Base!BL259</f>
        <v>1260</v>
      </c>
      <c r="L259" s="72">
        <f>[2]Base!DZ259</f>
        <v>1321</v>
      </c>
      <c r="M259" s="24">
        <f>[2]Base!AO259</f>
        <v>364687304.13</v>
      </c>
      <c r="N259" s="24">
        <f>[2]Base!AP259</f>
        <v>549999998.27999997</v>
      </c>
      <c r="O259" s="25">
        <f>[2]Base!AQ259</f>
        <v>914687302.40999997</v>
      </c>
      <c r="P259" s="26">
        <f>[2]Base!EF259</f>
        <v>2.6374806171279609E-2</v>
      </c>
      <c r="Q259" s="26">
        <f>[2]Base!EH259</f>
        <v>0.4484682432779265</v>
      </c>
      <c r="R259" s="26">
        <f>[2]Base!EJ259</f>
        <v>0.24915857438532565</v>
      </c>
      <c r="S259" s="27">
        <f>[2]Base!EL259</f>
        <v>0.27599837616546824</v>
      </c>
    </row>
    <row r="260" spans="2:19" ht="13.2" x14ac:dyDescent="0.25">
      <c r="B260" s="18" t="str">
        <f>[2]Base!A260</f>
        <v>TUPY</v>
      </c>
      <c r="C260" s="19" t="str">
        <f>[2]Base!C260</f>
        <v>NM</v>
      </c>
      <c r="D260" s="19" t="str">
        <f>[2]Base!EQ260</f>
        <v>Material Rodoviário</v>
      </c>
      <c r="E260" s="19" t="str">
        <f>[2]Base!M260</f>
        <v>Citi</v>
      </c>
      <c r="F260" s="19" t="str">
        <f>[2]Base!F260</f>
        <v>FOLLOW-ON</v>
      </c>
      <c r="G260" s="19" t="str">
        <f>[2]Base!G260</f>
        <v>ICVM 400</v>
      </c>
      <c r="H260" s="20">
        <f>[2]Base!X260</f>
        <v>41563</v>
      </c>
      <c r="I260" s="21">
        <f>[2]Base!W260</f>
        <v>17.5</v>
      </c>
      <c r="J260" s="22">
        <f>[2]Base!J260</f>
        <v>41565</v>
      </c>
      <c r="K260" s="72">
        <f>[2]Base!BL260</f>
        <v>322</v>
      </c>
      <c r="L260" s="72">
        <f>[2]Base!DZ260</f>
        <v>517</v>
      </c>
      <c r="M260" s="24">
        <f>[2]Base!AO260</f>
        <v>523250000</v>
      </c>
      <c r="N260" s="24">
        <f>[2]Base!AP260</f>
        <v>0</v>
      </c>
      <c r="O260" s="25">
        <f>[2]Base!AQ260</f>
        <v>523250000</v>
      </c>
      <c r="P260" s="26">
        <f>[2]Base!EF260</f>
        <v>5.6367892976588632E-2</v>
      </c>
      <c r="Q260" s="26">
        <f>[2]Base!EH260</f>
        <v>0.39699441471571906</v>
      </c>
      <c r="R260" s="26">
        <f>[2]Base!EJ260</f>
        <v>0.54663197324414714</v>
      </c>
      <c r="S260" s="27">
        <f>[2]Base!EL260</f>
        <v>5.7190635451505019E-6</v>
      </c>
    </row>
    <row r="261" spans="2:19" ht="13.2" x14ac:dyDescent="0.25">
      <c r="B261" s="18" t="str">
        <f>[2]Base!A261</f>
        <v>ANIMA</v>
      </c>
      <c r="C261" s="19" t="str">
        <f>[2]Base!C261</f>
        <v>NM</v>
      </c>
      <c r="D261" s="19" t="str">
        <f>[2]Base!EQ261</f>
        <v>Serviços Educacionais</v>
      </c>
      <c r="E261" s="19" t="str">
        <f>[2]Base!M261</f>
        <v>Itaú BBA</v>
      </c>
      <c r="F261" s="19" t="str">
        <f>[2]Base!F261</f>
        <v>IPO</v>
      </c>
      <c r="G261" s="19" t="str">
        <f>[2]Base!G261</f>
        <v>ICVM 400</v>
      </c>
      <c r="H261" s="20">
        <f>[2]Base!X261</f>
        <v>41571</v>
      </c>
      <c r="I261" s="21">
        <f>[2]Base!W261</f>
        <v>18.5</v>
      </c>
      <c r="J261" s="22">
        <f>[2]Base!J261</f>
        <v>41575</v>
      </c>
      <c r="K261" s="72">
        <f>[2]Base!BL261</f>
        <v>1218</v>
      </c>
      <c r="L261" s="72">
        <f>[2]Base!DZ261</f>
        <v>1487</v>
      </c>
      <c r="M261" s="24">
        <f>[2]Base!AO261</f>
        <v>426020571.5</v>
      </c>
      <c r="N261" s="24">
        <f>[2]Base!AP261</f>
        <v>78036348.5</v>
      </c>
      <c r="O261" s="25">
        <f>[2]Base!AQ261</f>
        <v>504056920</v>
      </c>
      <c r="P261" s="26">
        <f>[2]Base!EF261</f>
        <v>8.5953662733169109E-2</v>
      </c>
      <c r="Q261" s="26">
        <f>[2]Base!EH261</f>
        <v>0.40012687951987647</v>
      </c>
      <c r="R261" s="26">
        <f>[2]Base!EJ261</f>
        <v>0.50890766165852852</v>
      </c>
      <c r="S261" s="27">
        <f>[2]Base!EL261</f>
        <v>5.0117960884258862E-3</v>
      </c>
    </row>
    <row r="262" spans="2:19" ht="13.2" x14ac:dyDescent="0.25">
      <c r="B262" s="18" t="str">
        <f>[2]Base!A262</f>
        <v>SER EDUCA</v>
      </c>
      <c r="C262" s="19" t="str">
        <f>[2]Base!C262</f>
        <v>NM</v>
      </c>
      <c r="D262" s="19" t="str">
        <f>[2]Base!EQ262</f>
        <v>Serviços Educacionais</v>
      </c>
      <c r="E262" s="19" t="str">
        <f>[2]Base!M262</f>
        <v>BTG Pactual</v>
      </c>
      <c r="F262" s="19" t="str">
        <f>[2]Base!F262</f>
        <v>IPO</v>
      </c>
      <c r="G262" s="19" t="str">
        <f>[2]Base!G262</f>
        <v>ICVM 400</v>
      </c>
      <c r="H262" s="20">
        <f>[2]Base!X262</f>
        <v>41572</v>
      </c>
      <c r="I262" s="21">
        <f>[2]Base!W262</f>
        <v>17.5</v>
      </c>
      <c r="J262" s="22">
        <f>[2]Base!J262</f>
        <v>41576</v>
      </c>
      <c r="K262" s="72">
        <f>[2]Base!BL262</f>
        <v>1059</v>
      </c>
      <c r="L262" s="72">
        <f>[2]Base!DZ262</f>
        <v>1311</v>
      </c>
      <c r="M262" s="24">
        <f>[2]Base!AO262</f>
        <v>309714090</v>
      </c>
      <c r="N262" s="24">
        <f>[2]Base!AP262</f>
        <v>309714090</v>
      </c>
      <c r="O262" s="25">
        <f>[2]Base!AQ262</f>
        <v>619428180</v>
      </c>
      <c r="P262" s="26">
        <f>[2]Base!EF262</f>
        <v>2.6359637851800673E-2</v>
      </c>
      <c r="Q262" s="26">
        <f>[2]Base!EH262</f>
        <v>0.39001973562132741</v>
      </c>
      <c r="R262" s="26">
        <f>[2]Base!EJ262</f>
        <v>0.58313740666432068</v>
      </c>
      <c r="S262" s="27">
        <f>[2]Base!EL262</f>
        <v>4.8321986255129689E-4</v>
      </c>
    </row>
    <row r="263" spans="2:19" ht="13.2" x14ac:dyDescent="0.25">
      <c r="B263" s="18" t="str">
        <f>[2]Base!A263</f>
        <v>CVC BRASIL</v>
      </c>
      <c r="C263" s="19" t="str">
        <f>[2]Base!C263</f>
        <v>NM</v>
      </c>
      <c r="D263" s="19" t="str">
        <f>[2]Base!EQ263</f>
        <v>Viagens e Turismo</v>
      </c>
      <c r="E263" s="19" t="str">
        <f>[2]Base!M263</f>
        <v>Itaú BBA</v>
      </c>
      <c r="F263" s="19" t="str">
        <f>[2]Base!F263</f>
        <v>IPO</v>
      </c>
      <c r="G263" s="19" t="str">
        <f>[2]Base!G263</f>
        <v>ICVM 400</v>
      </c>
      <c r="H263" s="20">
        <f>[2]Base!X263</f>
        <v>41613</v>
      </c>
      <c r="I263" s="21">
        <f>[2]Base!W263</f>
        <v>16</v>
      </c>
      <c r="J263" s="22">
        <f>[2]Base!J263</f>
        <v>41617</v>
      </c>
      <c r="K263" s="72">
        <f>[2]Base!BL263</f>
        <v>2316</v>
      </c>
      <c r="L263" s="72">
        <f>[2]Base!DZ263</f>
        <v>2540</v>
      </c>
      <c r="M263" s="24">
        <f>[2]Base!AO263</f>
        <v>0</v>
      </c>
      <c r="N263" s="24">
        <f>[2]Base!AP263</f>
        <v>541465600</v>
      </c>
      <c r="O263" s="25">
        <f>[2]Base!AQ263</f>
        <v>541465600</v>
      </c>
      <c r="P263" s="26">
        <f>[2]Base!EF263</f>
        <v>8.8896541062801926E-2</v>
      </c>
      <c r="Q263" s="26">
        <f>[2]Base!EH263</f>
        <v>0.42276189371980677</v>
      </c>
      <c r="R263" s="26">
        <f>[2]Base!EJ263</f>
        <v>0.48427060869565219</v>
      </c>
      <c r="S263" s="27">
        <f>[2]Base!EL263</f>
        <v>4.0709565217391308E-3</v>
      </c>
    </row>
    <row r="264" spans="2:19" ht="13.8" thickBot="1" x14ac:dyDescent="0.3">
      <c r="B264" s="30" t="str">
        <f>[2]Base!A264</f>
        <v>VIAVAREJO</v>
      </c>
      <c r="C264" s="31" t="str">
        <f>[2]Base!C264</f>
        <v>N2</v>
      </c>
      <c r="D264" s="31" t="str">
        <f>[2]Base!EQ264</f>
        <v>Eletrodomésticos</v>
      </c>
      <c r="E264" s="31" t="str">
        <f>[2]Base!M264</f>
        <v>Credit Suisse</v>
      </c>
      <c r="F264" s="31" t="str">
        <f>[2]Base!F264</f>
        <v>FOLLOW-ON</v>
      </c>
      <c r="G264" s="31" t="str">
        <f>[2]Base!G264</f>
        <v>ICVM 400</v>
      </c>
      <c r="H264" s="32">
        <f>[2]Base!X264</f>
        <v>41620</v>
      </c>
      <c r="I264" s="33">
        <f>[2]Base!W264</f>
        <v>23</v>
      </c>
      <c r="J264" s="34">
        <f>[2]Base!J264</f>
        <v>41624</v>
      </c>
      <c r="K264" s="86">
        <f>[2]Base!BL264</f>
        <v>1431</v>
      </c>
      <c r="L264" s="86">
        <f>[2]Base!DZ264</f>
        <v>1826</v>
      </c>
      <c r="M264" s="36">
        <f>[2]Base!AO264</f>
        <v>0</v>
      </c>
      <c r="N264" s="36">
        <f>[2]Base!AP264</f>
        <v>2845030632</v>
      </c>
      <c r="O264" s="37">
        <f>[2]Base!AQ264</f>
        <v>2845030632</v>
      </c>
      <c r="P264" s="38">
        <f>[2]Base!EF264</f>
        <v>1.0195034342955362E-2</v>
      </c>
      <c r="Q264" s="38">
        <f>[2]Base!EH264</f>
        <v>0.24096957772228303</v>
      </c>
      <c r="R264" s="38">
        <f>[2]Base!EJ264</f>
        <v>0.74589074055354498</v>
      </c>
      <c r="S264" s="39">
        <f>[2]Base!EL264</f>
        <v>2.9446473812166675E-3</v>
      </c>
    </row>
    <row r="265" spans="2:19" ht="13.8" thickTop="1" x14ac:dyDescent="0.25">
      <c r="B265" s="40" t="str">
        <f>[2]Base!A265</f>
        <v>OI¹</v>
      </c>
      <c r="C265" s="41" t="str">
        <f>[2]Base!C265</f>
        <v>N1</v>
      </c>
      <c r="D265" s="41" t="str">
        <f>[2]Base!EQ265</f>
        <v>Telefonia Fixa</v>
      </c>
      <c r="E265" s="41" t="str">
        <f>[2]Base!M265</f>
        <v>BTG Pactual</v>
      </c>
      <c r="F265" s="41" t="str">
        <f>[2]Base!F265</f>
        <v>FOLLOW-ON</v>
      </c>
      <c r="G265" s="41" t="str">
        <f>[2]Base!G265</f>
        <v>ICVM 400</v>
      </c>
      <c r="H265" s="42">
        <f>[2]Base!X265</f>
        <v>41757</v>
      </c>
      <c r="I265" s="43">
        <f>[2]Base!W265</f>
        <v>2.0566666666578493</v>
      </c>
      <c r="J265" s="44">
        <f>[2]Base!J265</f>
        <v>41759</v>
      </c>
      <c r="K265" s="71">
        <f>[2]Base!BL265</f>
        <v>3429</v>
      </c>
      <c r="L265" s="71">
        <f>[2]Base!DZ265</f>
        <v>4369</v>
      </c>
      <c r="M265" s="46">
        <f>[2]Base!AO265</f>
        <v>13959899998.896816</v>
      </c>
      <c r="N265" s="46">
        <f>[2]Base!AP265</f>
        <v>0</v>
      </c>
      <c r="O265" s="47">
        <f>[2]Base!AQ265</f>
        <v>13959899998.896816</v>
      </c>
      <c r="P265" s="48">
        <f>[2]Base!EF265</f>
        <v>5.4232472710400203E-3</v>
      </c>
      <c r="Q265" s="48">
        <f>[2]Base!EH265</f>
        <v>0.11538216414518598</v>
      </c>
      <c r="R265" s="48">
        <f>[2]Base!EJ265</f>
        <v>0.41461573676835661</v>
      </c>
      <c r="S265" s="49">
        <f>[2]Base!EL265</f>
        <v>0.4645788518154173</v>
      </c>
    </row>
    <row r="266" spans="2:19" ht="13.8" thickBot="1" x14ac:dyDescent="0.3">
      <c r="B266" s="61" t="str">
        <f>[2]Base!A266</f>
        <v>OUROFINO S/A</v>
      </c>
      <c r="C266" s="62" t="str">
        <f>[2]Base!C266</f>
        <v>NM</v>
      </c>
      <c r="D266" s="62" t="str">
        <f>[2]Base!EQ266</f>
        <v>Medicamentos e Outros Produtos</v>
      </c>
      <c r="E266" s="62" t="str">
        <f>[2]Base!M266</f>
        <v>JP Morgan</v>
      </c>
      <c r="F266" s="62" t="str">
        <f>[2]Base!F266</f>
        <v>IPO</v>
      </c>
      <c r="G266" s="62" t="str">
        <f>[2]Base!G266</f>
        <v>ICVM 400</v>
      </c>
      <c r="H266" s="63">
        <f>[2]Base!X266</f>
        <v>41929</v>
      </c>
      <c r="I266" s="64">
        <f>[2]Base!W266</f>
        <v>27</v>
      </c>
      <c r="J266" s="65">
        <f>[2]Base!J266</f>
        <v>41933</v>
      </c>
      <c r="K266" s="87">
        <f>[2]Base!BL266</f>
        <v>2570</v>
      </c>
      <c r="L266" s="87">
        <f>[2]Base!DZ266</f>
        <v>2922</v>
      </c>
      <c r="M266" s="67">
        <f>[2]Base!AO266</f>
        <v>106442289</v>
      </c>
      <c r="N266" s="67">
        <f>[2]Base!AP266</f>
        <v>311538474</v>
      </c>
      <c r="O266" s="68">
        <f>[2]Base!AQ266</f>
        <v>417980763</v>
      </c>
      <c r="P266" s="69">
        <f>[2]Base!EF266</f>
        <v>9.5657651115393552E-2</v>
      </c>
      <c r="Q266" s="69">
        <f>[2]Base!EH266</f>
        <v>0.2196801076225606</v>
      </c>
      <c r="R266" s="69">
        <f>[2]Base!EJ266</f>
        <v>0.20086037069605522</v>
      </c>
      <c r="S266" s="70">
        <f>[2]Base!EL266</f>
        <v>0.48380187056599061</v>
      </c>
    </row>
    <row r="267" spans="2:19" ht="13.8" thickTop="1" x14ac:dyDescent="0.25">
      <c r="B267" s="88" t="str">
        <f>[2]Base!A267</f>
        <v>TELEF BRASIL¹</v>
      </c>
      <c r="C267" s="89" t="str">
        <f>[2]Base!C267</f>
        <v>BÁSICO</v>
      </c>
      <c r="D267" s="74" t="str">
        <f>[2]Base!EQ267</f>
        <v>Telefonia Fixa</v>
      </c>
      <c r="E267" s="74" t="str">
        <f>[2]Base!M267</f>
        <v>Itaú BBA</v>
      </c>
      <c r="F267" s="74" t="str">
        <f>[2]Base!F267</f>
        <v>FOLLOW-ON</v>
      </c>
      <c r="G267" s="74" t="str">
        <f>[2]Base!G267</f>
        <v>ICVM 400</v>
      </c>
      <c r="H267" s="90">
        <f>[2]Base!X267</f>
        <v>42121</v>
      </c>
      <c r="I267" s="91">
        <f>[2]Base!W267</f>
        <v>44.154045980711359</v>
      </c>
      <c r="J267" s="92">
        <f>[2]Base!J267</f>
        <v>42123</v>
      </c>
      <c r="K267" s="93">
        <f>[2]Base!BL267</f>
        <v>956</v>
      </c>
      <c r="L267" s="93">
        <f>[2]Base!DZ267</f>
        <v>1850</v>
      </c>
      <c r="M267" s="94">
        <f>[2]Base!AO267</f>
        <v>16107285058.799999</v>
      </c>
      <c r="N267" s="94">
        <f>[2]Base!AP267</f>
        <v>0</v>
      </c>
      <c r="O267" s="95">
        <f>[2]Base!AQ267</f>
        <v>16107285058.799999</v>
      </c>
      <c r="P267" s="96">
        <f>[2]Base!EF267</f>
        <v>3.3610785170340197E-3</v>
      </c>
      <c r="Q267" s="96">
        <f>[2]Base!EH267</f>
        <v>7.7287472987341191E-2</v>
      </c>
      <c r="R267" s="97">
        <f>[2]Base!EJ267</f>
        <v>0.69706897761544506</v>
      </c>
      <c r="S267" s="98">
        <f>[2]Base!EL267</f>
        <v>0.22228247086776307</v>
      </c>
    </row>
    <row r="268" spans="2:19" ht="13.2" x14ac:dyDescent="0.25">
      <c r="B268" s="18" t="str">
        <f>[2]Base!A268</f>
        <v>PARCORRETORA</v>
      </c>
      <c r="C268" s="19" t="str">
        <f>[2]Base!C268</f>
        <v>NM</v>
      </c>
      <c r="D268" s="19" t="str">
        <f>[2]Base!EQ268</f>
        <v>Corretoras de Seguros</v>
      </c>
      <c r="E268" s="19" t="str">
        <f>[2]Base!M268</f>
        <v>Bradesco BBI</v>
      </c>
      <c r="F268" s="19" t="str">
        <f>[2]Base!F268</f>
        <v>IPO</v>
      </c>
      <c r="G268" s="19" t="str">
        <f>[2]Base!G268</f>
        <v>ICVM 400</v>
      </c>
      <c r="H268" s="20">
        <f>[2]Base!X268</f>
        <v>42157</v>
      </c>
      <c r="I268" s="21">
        <f>[2]Base!W268</f>
        <v>12.33</v>
      </c>
      <c r="J268" s="22">
        <f>[2]Base!J268</f>
        <v>42160</v>
      </c>
      <c r="K268" s="72">
        <f>[2]Base!BL268</f>
        <v>3693</v>
      </c>
      <c r="L268" s="72">
        <f>[2]Base!DZ268</f>
        <v>4527</v>
      </c>
      <c r="M268" s="24">
        <f>[2]Base!AO268</f>
        <v>0</v>
      </c>
      <c r="N268" s="24">
        <f>[2]Base!AP268</f>
        <v>602800013.70000005</v>
      </c>
      <c r="O268" s="25">
        <f>[2]Base!AQ268</f>
        <v>602800013.70000005</v>
      </c>
      <c r="P268" s="26">
        <f>[2]Base!EF268</f>
        <v>9.8221415949513266E-2</v>
      </c>
      <c r="Q268" s="26">
        <f>[2]Base!EH268</f>
        <v>0.37409806195231671</v>
      </c>
      <c r="R268" s="26">
        <f>[2]Base!EJ268</f>
        <v>0.52148093360270609</v>
      </c>
      <c r="S268" s="27">
        <f>[2]Base!EL268</f>
        <v>6.199588495463898E-3</v>
      </c>
    </row>
    <row r="269" spans="2:19" ht="13.2" x14ac:dyDescent="0.25">
      <c r="B269" s="18" t="str">
        <f>[2]Base!A269</f>
        <v>VALID</v>
      </c>
      <c r="C269" s="19" t="str">
        <f>[2]Base!C269</f>
        <v>NM</v>
      </c>
      <c r="D269" s="19" t="str">
        <f>[2]Base!EQ269</f>
        <v xml:space="preserve">Serviços Diversos </v>
      </c>
      <c r="E269" s="19" t="str">
        <f>[2]Base!M269</f>
        <v>Itaú BBA</v>
      </c>
      <c r="F269" s="19" t="str">
        <f>[2]Base!F269</f>
        <v>FOLLOW-ON</v>
      </c>
      <c r="G269" s="19" t="str">
        <f>[2]Base!G269</f>
        <v>ICVM 476</v>
      </c>
      <c r="H269" s="20">
        <f>[2]Base!X269</f>
        <v>42269</v>
      </c>
      <c r="I269" s="21">
        <f>[2]Base!W269</f>
        <v>44</v>
      </c>
      <c r="J269" s="22">
        <f>[2]Base!J269</f>
        <v>42270</v>
      </c>
      <c r="K269" s="72">
        <f>[2]Base!BL269</f>
        <v>42</v>
      </c>
      <c r="L269" s="72">
        <f>[2]Base!DZ269</f>
        <v>449</v>
      </c>
      <c r="M269" s="24">
        <f>[2]Base!AO269</f>
        <v>396000000</v>
      </c>
      <c r="N269" s="24">
        <f>[2]Base!AP269</f>
        <v>0</v>
      </c>
      <c r="O269" s="25">
        <f>[2]Base!AQ269</f>
        <v>396000000</v>
      </c>
      <c r="P269" s="26">
        <f>[2]Base!EF269</f>
        <v>6.2837777777777779E-3</v>
      </c>
      <c r="Q269" s="26">
        <f>[2]Base!EH269</f>
        <v>0.28428466666666669</v>
      </c>
      <c r="R269" s="26">
        <f>[2]Base!EJ269</f>
        <v>0.70496933333333334</v>
      </c>
      <c r="S269" s="27">
        <f>[2]Base!EL269</f>
        <v>4.4622222222222225E-3</v>
      </c>
    </row>
    <row r="270" spans="2:19" ht="13.2" x14ac:dyDescent="0.25">
      <c r="B270" s="18" t="str">
        <f>[2]Base!A270</f>
        <v>GENERALSHOPP</v>
      </c>
      <c r="C270" s="19" t="str">
        <f>[2]Base!C270</f>
        <v>NM</v>
      </c>
      <c r="D270" s="19" t="str">
        <f>[2]Base!EQ270</f>
        <v xml:space="preserve">Exploração de Imóveis </v>
      </c>
      <c r="E270" s="19" t="str">
        <f>[2]Base!M270</f>
        <v>Santander</v>
      </c>
      <c r="F270" s="19" t="str">
        <f>[2]Base!F270</f>
        <v>FOLLOW-ON</v>
      </c>
      <c r="G270" s="19" t="str">
        <f>[2]Base!G270</f>
        <v>ICVM 476</v>
      </c>
      <c r="H270" s="20">
        <f>[2]Base!X270</f>
        <v>42261</v>
      </c>
      <c r="I270" s="21">
        <f>[2]Base!W270</f>
        <v>3.99</v>
      </c>
      <c r="J270" s="22">
        <f>[2]Base!J270</f>
        <v>42278</v>
      </c>
      <c r="K270" s="72">
        <f>[2]Base!BL270</f>
        <v>0</v>
      </c>
      <c r="L270" s="72">
        <f>[2]Base!DZ270</f>
        <v>1</v>
      </c>
      <c r="M270" s="24">
        <f>[2]Base!AO270</f>
        <v>57932406</v>
      </c>
      <c r="N270" s="24">
        <f>[2]Base!AP270</f>
        <v>0</v>
      </c>
      <c r="O270" s="25">
        <f>[2]Base!AQ270</f>
        <v>57932406</v>
      </c>
      <c r="P270" s="26">
        <f>[2]Base!EF270</f>
        <v>0</v>
      </c>
      <c r="Q270" s="26">
        <f>[2]Base!EH270</f>
        <v>0</v>
      </c>
      <c r="R270" s="26">
        <f>[2]Base!EJ270</f>
        <v>0</v>
      </c>
      <c r="S270" s="27">
        <f>[2]Base!EL270</f>
        <v>1</v>
      </c>
    </row>
    <row r="271" spans="2:19" ht="13.8" thickBot="1" x14ac:dyDescent="0.3">
      <c r="B271" s="99" t="str">
        <f>[2]Base!A271</f>
        <v>GERDAU MET</v>
      </c>
      <c r="C271" s="100" t="str">
        <f>[2]Base!C271</f>
        <v>N1</v>
      </c>
      <c r="D271" s="100" t="str">
        <f>[2]Base!EQ271</f>
        <v>Siderurgia</v>
      </c>
      <c r="E271" s="100" t="str">
        <f>[2]Base!M271</f>
        <v>BTG Pactual</v>
      </c>
      <c r="F271" s="100" t="str">
        <f>[2]Base!F271</f>
        <v>FOLLOW-ON</v>
      </c>
      <c r="G271" s="62" t="str">
        <f>[2]Base!G271</f>
        <v>ICVM 476</v>
      </c>
      <c r="H271" s="63">
        <f>[2]Base!X271</f>
        <v>42325</v>
      </c>
      <c r="I271" s="101">
        <f>[2]Base!W271</f>
        <v>1.8</v>
      </c>
      <c r="J271" s="65">
        <f>[2]Base!J271</f>
        <v>42327</v>
      </c>
      <c r="K271" s="87">
        <f>[2]Base!BL271</f>
        <v>225</v>
      </c>
      <c r="L271" s="87">
        <f>[2]Base!DZ271</f>
        <v>558</v>
      </c>
      <c r="M271" s="67">
        <f>[2]Base!AO271</f>
        <v>900000000</v>
      </c>
      <c r="N271" s="67">
        <f>[2]Base!AP271</f>
        <v>0</v>
      </c>
      <c r="O271" s="68">
        <f>[2]Base!AQ271</f>
        <v>900000000</v>
      </c>
      <c r="P271" s="102">
        <f>[2]Base!EF271</f>
        <v>3.6634559999999997E-2</v>
      </c>
      <c r="Q271" s="102">
        <f>[2]Base!EH271</f>
        <v>0.35301729200000004</v>
      </c>
      <c r="R271" s="69">
        <f>[2]Base!EJ271</f>
        <v>0.25018665000000001</v>
      </c>
      <c r="S271" s="70">
        <f>[2]Base!EL271</f>
        <v>0.36016149799999997</v>
      </c>
    </row>
    <row r="272" spans="2:19" ht="15" customHeight="1" thickTop="1" x14ac:dyDescent="0.25">
      <c r="B272" s="88" t="str">
        <f>[2]Base!A272</f>
        <v>BR PHARMA</v>
      </c>
      <c r="C272" s="103" t="str">
        <f>[2]Base!C272</f>
        <v>NM</v>
      </c>
      <c r="D272" s="103" t="str">
        <f>[2]Base!EQ272</f>
        <v>Medicamentos</v>
      </c>
      <c r="E272" s="103" t="str">
        <f>[2]Base!M272</f>
        <v>BTG Pactual</v>
      </c>
      <c r="F272" s="103" t="str">
        <f>[2]Base!F272</f>
        <v>FOLLOW-ON</v>
      </c>
      <c r="G272" s="74" t="str">
        <f>[2]Base!G272</f>
        <v>ICVM 476</v>
      </c>
      <c r="H272" s="90">
        <f>[2]Base!X272</f>
        <v>42388</v>
      </c>
      <c r="I272" s="104">
        <f>[2]Base!W272</f>
        <v>3.78</v>
      </c>
      <c r="J272" s="92">
        <f>[2]Base!J272</f>
        <v>42402</v>
      </c>
      <c r="K272" s="93">
        <f>[2]Base!BL272</f>
        <v>0</v>
      </c>
      <c r="L272" s="79">
        <f>[2]Base!DZ272</f>
        <v>1</v>
      </c>
      <c r="M272" s="80">
        <f>[2]Base!AO272</f>
        <v>400000000.68000001</v>
      </c>
      <c r="N272" s="80">
        <f>[2]Base!AP272</f>
        <v>0</v>
      </c>
      <c r="O272" s="82">
        <f>[2]Base!AQ272</f>
        <v>400000000.68000001</v>
      </c>
      <c r="P272" s="105">
        <f>[2]Base!EF272</f>
        <v>0</v>
      </c>
      <c r="Q272" s="105">
        <f>[2]Base!EH272</f>
        <v>0</v>
      </c>
      <c r="R272" s="84">
        <f>[2]Base!EJ272</f>
        <v>0</v>
      </c>
      <c r="S272" s="85">
        <f>[2]Base!EL272</f>
        <v>1</v>
      </c>
    </row>
    <row r="273" spans="2:19" ht="13.2" x14ac:dyDescent="0.25">
      <c r="B273" s="18" t="str">
        <f>[2]Base!A273</f>
        <v>MERC INVEST</v>
      </c>
      <c r="C273" s="19" t="str">
        <f>[2]Base!C273</f>
        <v>BÁSICO</v>
      </c>
      <c r="D273" s="19" t="str">
        <f>[2]Base!EQ273</f>
        <v>Bancos</v>
      </c>
      <c r="E273" s="19" t="str">
        <f>[2]Base!M273</f>
        <v>Banco Votorantim</v>
      </c>
      <c r="F273" s="19" t="str">
        <f>[2]Base!F273</f>
        <v>FOLLOW-ON</v>
      </c>
      <c r="G273" s="19" t="str">
        <f>[2]Base!G273</f>
        <v>ICVM 476</v>
      </c>
      <c r="H273" s="20">
        <f>[2]Base!X273</f>
        <v>42439</v>
      </c>
      <c r="I273" s="21">
        <f>[2]Base!W273</f>
        <v>0.33</v>
      </c>
      <c r="J273" s="22">
        <f>[2]Base!J273</f>
        <v>42440</v>
      </c>
      <c r="K273" s="72">
        <f>[2]Base!BL273</f>
        <v>0</v>
      </c>
      <c r="L273" s="72">
        <f>[2]Base!DZ273</f>
        <v>5</v>
      </c>
      <c r="M273" s="24">
        <f>[2]Base!AO273</f>
        <v>190474337.46000001</v>
      </c>
      <c r="N273" s="24">
        <f>[2]Base!AP273</f>
        <v>0</v>
      </c>
      <c r="O273" s="25">
        <f>[2]Base!AQ273</f>
        <v>190474337.46000001</v>
      </c>
      <c r="P273" s="26">
        <f>[2]Base!EF273</f>
        <v>0</v>
      </c>
      <c r="Q273" s="26">
        <f>[2]Base!EH273</f>
        <v>0</v>
      </c>
      <c r="R273" s="26">
        <f>[2]Base!EJ273</f>
        <v>0</v>
      </c>
      <c r="S273" s="27">
        <f>[2]Base!EL273</f>
        <v>1</v>
      </c>
    </row>
    <row r="274" spans="2:19" ht="13.2" x14ac:dyDescent="0.25">
      <c r="B274" s="18" t="str">
        <f>[2]Base!A274</f>
        <v>RUMO LOG</v>
      </c>
      <c r="C274" s="19" t="str">
        <f>[2]Base!C274</f>
        <v>NM</v>
      </c>
      <c r="D274" s="19" t="str">
        <f>[2]Base!EQ274</f>
        <v>Transporte Ferroviário</v>
      </c>
      <c r="E274" s="19" t="str">
        <f>[2]Base!M274</f>
        <v>Santander</v>
      </c>
      <c r="F274" s="19" t="str">
        <f>[2]Base!F274</f>
        <v>FOLLOW-ON</v>
      </c>
      <c r="G274" s="19" t="str">
        <f>[2]Base!G274</f>
        <v>ICVM 476</v>
      </c>
      <c r="H274" s="20">
        <f>[2]Base!X274</f>
        <v>42467</v>
      </c>
      <c r="I274" s="21">
        <f>[2]Base!W274</f>
        <v>2.5</v>
      </c>
      <c r="J274" s="22">
        <f>[2]Base!J274</f>
        <v>42468</v>
      </c>
      <c r="K274" s="72">
        <f>[2]Base!BL274</f>
        <v>30</v>
      </c>
      <c r="L274" s="72">
        <f>[2]Base!DZ274</f>
        <v>407</v>
      </c>
      <c r="M274" s="24">
        <f>[2]Base!AO274</f>
        <v>2600000000</v>
      </c>
      <c r="N274" s="24">
        <f>[2]Base!AP274</f>
        <v>0</v>
      </c>
      <c r="O274" s="25">
        <f>[2]Base!AQ274</f>
        <v>2600000000</v>
      </c>
      <c r="P274" s="26">
        <f>[2]Base!EF274</f>
        <v>1.8656894230769231E-3</v>
      </c>
      <c r="Q274" s="26">
        <f>[2]Base!EH274</f>
        <v>0.11569919423076923</v>
      </c>
      <c r="R274" s="26">
        <f>[2]Base!EJ274</f>
        <v>0.47579280961538462</v>
      </c>
      <c r="S274" s="27">
        <f>[2]Base!EL274</f>
        <v>0.40664230673076923</v>
      </c>
    </row>
    <row r="275" spans="2:19" ht="13.2" x14ac:dyDescent="0.25">
      <c r="B275" s="18" t="str">
        <f>[2]Base!A275</f>
        <v>FRAS-LE</v>
      </c>
      <c r="C275" s="19" t="str">
        <f>[2]Base!C275</f>
        <v>N1</v>
      </c>
      <c r="D275" s="19" t="str">
        <f>[2]Base!EQ275</f>
        <v>Material Rodoviário</v>
      </c>
      <c r="E275" s="19" t="str">
        <f>[2]Base!M275</f>
        <v>Santander</v>
      </c>
      <c r="F275" s="19" t="str">
        <f>[2]Base!F275</f>
        <v>FOLLOW-ON</v>
      </c>
      <c r="G275" s="19" t="str">
        <f>[2]Base!G275</f>
        <v>ICVM 476</v>
      </c>
      <c r="H275" s="20">
        <f>[2]Base!X275</f>
        <v>42468</v>
      </c>
      <c r="I275" s="21">
        <f>[2]Base!W275</f>
        <v>3.24</v>
      </c>
      <c r="J275" s="22">
        <f>[2]Base!J275</f>
        <v>42485</v>
      </c>
      <c r="K275" s="72">
        <f>[2]Base!BL275</f>
        <v>15</v>
      </c>
      <c r="L275" s="72">
        <f>[2]Base!DZ275</f>
        <v>60</v>
      </c>
      <c r="M275" s="24">
        <f>[2]Base!AO275</f>
        <v>300000001.31999999</v>
      </c>
      <c r="N275" s="24">
        <f>[2]Base!AP275</f>
        <v>0</v>
      </c>
      <c r="O275" s="25">
        <f>[2]Base!AQ275</f>
        <v>300000001.31999999</v>
      </c>
      <c r="P275" s="26">
        <f>[2]Base!EF275</f>
        <v>1.586929313017511E-2</v>
      </c>
      <c r="Q275" s="26">
        <f>[2]Base!EH275</f>
        <v>0.41657050256708983</v>
      </c>
      <c r="R275" s="26">
        <f>[2]Base!EJ275</f>
        <v>3.4478125048296254E-2</v>
      </c>
      <c r="S275" s="27">
        <f>[2]Base!EL275</f>
        <v>0.53308207925443896</v>
      </c>
    </row>
    <row r="276" spans="2:19" ht="13.2" x14ac:dyDescent="0.25">
      <c r="B276" s="18" t="str">
        <f>[2]Base!A276</f>
        <v>ENERGISA</v>
      </c>
      <c r="C276" s="19" t="str">
        <f>[2]Base!C276</f>
        <v>N2</v>
      </c>
      <c r="D276" s="19" t="str">
        <f>[2]Base!EQ276</f>
        <v>Energia Elétrica</v>
      </c>
      <c r="E276" s="19" t="str">
        <f>[2]Base!M276</f>
        <v>Citi</v>
      </c>
      <c r="F276" s="19" t="str">
        <f>[2]Base!F276</f>
        <v>FOLLOW-ON</v>
      </c>
      <c r="G276" s="19" t="str">
        <f>[2]Base!G276</f>
        <v>ICVM 400</v>
      </c>
      <c r="H276" s="20">
        <f>[2]Base!X276</f>
        <v>42578</v>
      </c>
      <c r="I276" s="21">
        <f>[2]Base!W276</f>
        <v>18.5</v>
      </c>
      <c r="J276" s="22">
        <f>[2]Base!J276</f>
        <v>42579</v>
      </c>
      <c r="K276" s="72">
        <f>[2]Base!BL276</f>
        <v>1824</v>
      </c>
      <c r="L276" s="72">
        <f>[2]Base!DZ276</f>
        <v>2560</v>
      </c>
      <c r="M276" s="24">
        <f>[2]Base!AO276</f>
        <v>1535962500</v>
      </c>
      <c r="N276" s="24">
        <f>[2]Base!AP276</f>
        <v>0</v>
      </c>
      <c r="O276" s="25">
        <f>[2]Base!AQ276</f>
        <v>1535962500</v>
      </c>
      <c r="P276" s="26">
        <f>[2]Base!EF276</f>
        <v>9.5627353206865398E-2</v>
      </c>
      <c r="Q276" s="26">
        <f>[2]Base!EH276</f>
        <v>0.35195844625112915</v>
      </c>
      <c r="R276" s="26">
        <f>[2]Base!EJ276</f>
        <v>0.54001554953327313</v>
      </c>
      <c r="S276" s="27">
        <f>[2]Base!EL276</f>
        <v>1.239865100873231E-2</v>
      </c>
    </row>
    <row r="277" spans="2:19" ht="13.2" x14ac:dyDescent="0.25">
      <c r="B277" s="18" t="str">
        <f>[2]Base!A277</f>
        <v>CVC BRASIL</v>
      </c>
      <c r="C277" s="19" t="str">
        <f>[2]Base!C277</f>
        <v>NM</v>
      </c>
      <c r="D277" s="19" t="str">
        <f>[2]Base!EQ277</f>
        <v>Viagens e Turismo</v>
      </c>
      <c r="E277" s="19" t="str">
        <f>[2]Base!M277</f>
        <v>BofA Merrill Lynch</v>
      </c>
      <c r="F277" s="19" t="str">
        <f>[2]Base!F277</f>
        <v>FOLLOW-ON</v>
      </c>
      <c r="G277" s="19" t="str">
        <f>[2]Base!G277</f>
        <v>ICVM 476</v>
      </c>
      <c r="H277" s="20">
        <f>[2]Base!X277</f>
        <v>42592</v>
      </c>
      <c r="I277" s="21">
        <f>[2]Base!W277</f>
        <v>20.5</v>
      </c>
      <c r="J277" s="22">
        <f>[2]Base!J277</f>
        <v>42598</v>
      </c>
      <c r="K277" s="72">
        <f>[2]Base!BL277</f>
        <v>2</v>
      </c>
      <c r="L277" s="72">
        <f>[2]Base!DZ277</f>
        <v>714</v>
      </c>
      <c r="M277" s="24">
        <f>[2]Base!AO277</f>
        <v>0</v>
      </c>
      <c r="N277" s="24">
        <f>[2]Base!AP277</f>
        <v>1230000000</v>
      </c>
      <c r="O277" s="25">
        <f>[2]Base!AQ277</f>
        <v>1230000000</v>
      </c>
      <c r="P277" s="26">
        <f>[2]Base!EF277</f>
        <v>3.7484999999999998E-4</v>
      </c>
      <c r="Q277" s="26">
        <f>[2]Base!EH277</f>
        <v>0.33542768333333334</v>
      </c>
      <c r="R277" s="26">
        <f>[2]Base!EJ277</f>
        <v>0.65378511666666672</v>
      </c>
      <c r="S277" s="27">
        <f>[2]Base!EL277</f>
        <v>1.0412350000000001E-2</v>
      </c>
    </row>
    <row r="278" spans="2:19" ht="13.2" x14ac:dyDescent="0.25">
      <c r="B278" s="18" t="str">
        <f>[2]Base!A278</f>
        <v>LINX</v>
      </c>
      <c r="C278" s="19" t="str">
        <f>[2]Base!C278</f>
        <v>NM</v>
      </c>
      <c r="D278" s="19" t="str">
        <f>[2]Base!EQ278</f>
        <v>Programas e Serviços</v>
      </c>
      <c r="E278" s="19" t="str">
        <f>[2]Base!M278</f>
        <v>BTG Pactual</v>
      </c>
      <c r="F278" s="19" t="str">
        <f>[2]Base!F278</f>
        <v>FOLLOW-ON</v>
      </c>
      <c r="G278" s="19" t="str">
        <f>[2]Base!G278</f>
        <v>ICVM 476</v>
      </c>
      <c r="H278" s="20">
        <f>[2]Base!X278</f>
        <v>42639</v>
      </c>
      <c r="I278" s="21">
        <f>[2]Base!W278</f>
        <v>18.5</v>
      </c>
      <c r="J278" s="22">
        <f>[2]Base!J278</f>
        <v>42641</v>
      </c>
      <c r="K278" s="72">
        <f>[2]Base!BL278</f>
        <v>1</v>
      </c>
      <c r="L278" s="72">
        <f>[2]Base!DZ278</f>
        <v>342</v>
      </c>
      <c r="M278" s="24">
        <f>[2]Base!AO278</f>
        <v>444000000</v>
      </c>
      <c r="N278" s="24">
        <f>[2]Base!AP278</f>
        <v>0</v>
      </c>
      <c r="O278" s="25">
        <f>[2]Base!AQ278</f>
        <v>444000000</v>
      </c>
      <c r="P278" s="26">
        <f>[2]Base!EF278</f>
        <v>1.2152916666666666E-3</v>
      </c>
      <c r="Q278" s="26">
        <f>[2]Base!EH278</f>
        <v>0.28609258333333332</v>
      </c>
      <c r="R278" s="26">
        <f>[2]Base!EJ278</f>
        <v>0.70998950000000005</v>
      </c>
      <c r="S278" s="27">
        <f>[2]Base!EL278</f>
        <v>2.7026250000000002E-3</v>
      </c>
    </row>
    <row r="279" spans="2:19" ht="13.2" x14ac:dyDescent="0.25">
      <c r="B279" s="18" t="str">
        <f>[2]Base!A279</f>
        <v>TAESA</v>
      </c>
      <c r="C279" s="19" t="str">
        <f>[2]Base!C279</f>
        <v>N2</v>
      </c>
      <c r="D279" s="19" t="str">
        <f>[2]Base!EQ279</f>
        <v>Energia Elétrica</v>
      </c>
      <c r="E279" s="19" t="str">
        <f>[2]Base!M279</f>
        <v>BofA Merrill Lynch</v>
      </c>
      <c r="F279" s="19" t="str">
        <f>[2]Base!F279</f>
        <v>FOLLOW-ON</v>
      </c>
      <c r="G279" s="19" t="str">
        <f>[2]Base!G279</f>
        <v>ICVM 476</v>
      </c>
      <c r="H279" s="20">
        <f>[2]Base!X279</f>
        <v>42661</v>
      </c>
      <c r="I279" s="21">
        <f>[2]Base!W279</f>
        <v>19.649999999999999</v>
      </c>
      <c r="J279" s="22">
        <f>[2]Base!J279</f>
        <v>42667</v>
      </c>
      <c r="K279" s="72">
        <f>[2]Base!BL279</f>
        <v>0</v>
      </c>
      <c r="L279" s="72">
        <f>[2]Base!DZ279</f>
        <v>684</v>
      </c>
      <c r="M279" s="24">
        <f>[2]Base!AO279</f>
        <v>0</v>
      </c>
      <c r="N279" s="24">
        <f>[2]Base!AP279</f>
        <v>1291048819.5</v>
      </c>
      <c r="O279" s="25">
        <f>[2]Base!AQ279</f>
        <v>1291048819.5</v>
      </c>
      <c r="P279" s="26">
        <f>[2]Base!EF279</f>
        <v>0</v>
      </c>
      <c r="Q279" s="26">
        <f>[2]Base!EH279</f>
        <v>0.31579354308065344</v>
      </c>
      <c r="R279" s="26">
        <f>[2]Base!EJ279</f>
        <v>0.68420645691934645</v>
      </c>
      <c r="S279" s="27">
        <f>[2]Base!EL279</f>
        <v>0</v>
      </c>
    </row>
    <row r="280" spans="2:19" ht="13.2" x14ac:dyDescent="0.25">
      <c r="B280" s="18" t="str">
        <f>[2]Base!A280</f>
        <v>ALLIAR</v>
      </c>
      <c r="C280" s="19" t="str">
        <f>[2]Base!C280</f>
        <v>NM</v>
      </c>
      <c r="D280" s="19" t="str">
        <f>[2]Base!EQ280</f>
        <v>Serviços Médicos Hospitalares, Análises e Diagnósticos</v>
      </c>
      <c r="E280" s="19" t="str">
        <f>[2]Base!M280</f>
        <v>Itaú BBA</v>
      </c>
      <c r="F280" s="19" t="str">
        <f>[2]Base!F280</f>
        <v>IPO</v>
      </c>
      <c r="G280" s="19" t="str">
        <f>[2]Base!G280</f>
        <v>ICVM 400</v>
      </c>
      <c r="H280" s="20">
        <f>[2]Base!X280</f>
        <v>42669</v>
      </c>
      <c r="I280" s="21">
        <f>[2]Base!W280</f>
        <v>20</v>
      </c>
      <c r="J280" s="22">
        <f>[2]Base!J280</f>
        <v>42671</v>
      </c>
      <c r="K280" s="72">
        <f>[2]Base!BL280</f>
        <v>1771</v>
      </c>
      <c r="L280" s="72">
        <f>[2]Base!DZ280</f>
        <v>2035</v>
      </c>
      <c r="M280" s="24">
        <f>[2]Base!AO280</f>
        <v>279069780</v>
      </c>
      <c r="N280" s="24">
        <f>[2]Base!AP280</f>
        <v>395127820</v>
      </c>
      <c r="O280" s="25">
        <f>[2]Base!AQ280</f>
        <v>674197600</v>
      </c>
      <c r="P280" s="26">
        <f>[2]Base!EF280</f>
        <v>9.3510308032546618E-2</v>
      </c>
      <c r="Q280" s="26">
        <f>[2]Base!EH280</f>
        <v>0.36966820649579085</v>
      </c>
      <c r="R280" s="26">
        <f>[2]Base!EJ280</f>
        <v>0.53033030857484598</v>
      </c>
      <c r="S280" s="27">
        <f>[2]Base!EL280</f>
        <v>6.4911768968165381E-3</v>
      </c>
    </row>
    <row r="281" spans="2:19" ht="13.8" thickBot="1" x14ac:dyDescent="0.3">
      <c r="B281" s="99" t="str">
        <f>[2]Base!A281</f>
        <v>SANEPAR</v>
      </c>
      <c r="C281" s="100" t="str">
        <f>[2]Base!C281</f>
        <v>N2</v>
      </c>
      <c r="D281" s="100" t="str">
        <f>[2]Base!EQ281</f>
        <v>Água e Saneamento</v>
      </c>
      <c r="E281" s="100" t="str">
        <f>[2]Base!M281</f>
        <v>Bradesco BBI</v>
      </c>
      <c r="F281" s="100" t="str">
        <f>[2]Base!F281</f>
        <v>FOLLOW-ON</v>
      </c>
      <c r="G281" s="62" t="str">
        <f>[2]Base!G281</f>
        <v>ICVM 400</v>
      </c>
      <c r="H281" s="63">
        <f>[2]Base!X281</f>
        <v>42723</v>
      </c>
      <c r="I281" s="101">
        <f>[2]Base!W281</f>
        <v>9.5</v>
      </c>
      <c r="J281" s="65">
        <f>[2]Base!J281</f>
        <v>42725</v>
      </c>
      <c r="K281" s="87">
        <f>[2]Base!BL281</f>
        <v>1310</v>
      </c>
      <c r="L281" s="87">
        <f>[2]Base!DZ281</f>
        <v>1757</v>
      </c>
      <c r="M281" s="67">
        <f>[2]Base!AO281</f>
        <v>257592186.5</v>
      </c>
      <c r="N281" s="67">
        <f>[2]Base!AP281</f>
        <v>1717571452.5</v>
      </c>
      <c r="O281" s="68">
        <f>[2]Base!AQ281</f>
        <v>1975163639</v>
      </c>
      <c r="P281" s="102">
        <f>[2]Base!EF281</f>
        <v>9.039949803369178E-2</v>
      </c>
      <c r="Q281" s="102">
        <f>[2]Base!EH281</f>
        <v>0.50713993550789538</v>
      </c>
      <c r="R281" s="69">
        <f>[2]Base!EJ281</f>
        <v>0.39437625046316477</v>
      </c>
      <c r="S281" s="70">
        <f>[2]Base!EL281</f>
        <v>8.084315995248028E-3</v>
      </c>
    </row>
    <row r="282" spans="2:19" ht="13.8" thickTop="1" x14ac:dyDescent="0.25">
      <c r="B282" s="106" t="str">
        <f>[2]Base!A282</f>
        <v>MOVIDA</v>
      </c>
      <c r="C282" s="107" t="str">
        <f>[2]Base!C282</f>
        <v>NM</v>
      </c>
      <c r="D282" s="107" t="str">
        <f>[2]Base!EQ282</f>
        <v>Aluguel de Carros</v>
      </c>
      <c r="E282" s="107" t="str">
        <f>[2]Base!M282</f>
        <v>Bradesco BBI</v>
      </c>
      <c r="F282" s="107" t="str">
        <f>[2]Base!F282</f>
        <v>IPO</v>
      </c>
      <c r="G282" s="107" t="str">
        <f>[2]Base!G282</f>
        <v>ICVM 400</v>
      </c>
      <c r="H282" s="108">
        <f>[2]Base!X282</f>
        <v>42772</v>
      </c>
      <c r="I282" s="109">
        <f>[2]Base!W282</f>
        <v>7.5</v>
      </c>
      <c r="J282" s="92">
        <f>[2]Base!J282</f>
        <v>42774</v>
      </c>
      <c r="K282" s="110">
        <f>[2]Base!BL282</f>
        <v>1096</v>
      </c>
      <c r="L282" s="110">
        <f>[2]Base!DZ282</f>
        <v>1373</v>
      </c>
      <c r="M282" s="111">
        <f>[2]Base!AO282</f>
        <v>535955055</v>
      </c>
      <c r="N282" s="111">
        <f>[2]Base!AP282</f>
        <v>64128735</v>
      </c>
      <c r="O282" s="112">
        <f>[2]Base!AQ282</f>
        <v>600083790</v>
      </c>
      <c r="P282" s="83">
        <f>[2]Base!EF282</f>
        <v>9.3400396584743584E-2</v>
      </c>
      <c r="Q282" s="83">
        <f>[2]Base!EH282</f>
        <v>0.3086604509575126</v>
      </c>
      <c r="R282" s="83">
        <f>[2]Base!EJ282</f>
        <v>0.450424733202273</v>
      </c>
      <c r="S282" s="113">
        <f>[2]Base!EL282</f>
        <v>0.14751441925547082</v>
      </c>
    </row>
    <row r="283" spans="2:19" ht="13.2" x14ac:dyDescent="0.25">
      <c r="B283" s="18" t="str">
        <f>[2]Base!A283</f>
        <v>IHPARDINI</v>
      </c>
      <c r="C283" s="19" t="str">
        <f>[2]Base!C283</f>
        <v>NM</v>
      </c>
      <c r="D283" s="19" t="s">
        <v>26</v>
      </c>
      <c r="E283" s="19" t="str">
        <f>[2]Base!M283</f>
        <v>Itaú BBA</v>
      </c>
      <c r="F283" s="19" t="str">
        <f>[2]Base!F283</f>
        <v>IPO</v>
      </c>
      <c r="G283" s="19" t="str">
        <f>[2]Base!G283</f>
        <v>ICVM 400</v>
      </c>
      <c r="H283" s="20">
        <f>[2]Base!X283</f>
        <v>42776</v>
      </c>
      <c r="I283" s="21">
        <f>[2]Base!W283</f>
        <v>19</v>
      </c>
      <c r="J283" s="22">
        <f>[2]Base!J283</f>
        <v>42780</v>
      </c>
      <c r="K283" s="72">
        <f>[2]Base!BL283</f>
        <v>4616</v>
      </c>
      <c r="L283" s="72">
        <f>[2]Base!DZ283</f>
        <v>5042</v>
      </c>
      <c r="M283" s="24">
        <f>[2]Base!AO283</f>
        <v>187272151</v>
      </c>
      <c r="N283" s="24">
        <f>[2]Base!AP283</f>
        <v>690396673</v>
      </c>
      <c r="O283" s="25">
        <f>[2]Base!AQ283</f>
        <v>877668824</v>
      </c>
      <c r="P283" s="26">
        <f>[2]Base!EF283</f>
        <v>0.10052935183214393</v>
      </c>
      <c r="Q283" s="26">
        <f>[2]Base!EH283</f>
        <v>0.48025412715354693</v>
      </c>
      <c r="R283" s="26">
        <f>[2]Base!EJ283</f>
        <v>0.41314996509435087</v>
      </c>
      <c r="S283" s="27">
        <f>[2]Base!EL283</f>
        <v>6.0665559199582549E-3</v>
      </c>
    </row>
    <row r="284" spans="2:19" ht="13.2" x14ac:dyDescent="0.25">
      <c r="B284" s="18" t="str">
        <f>[2]Base!A284</f>
        <v xml:space="preserve">CCR SA </v>
      </c>
      <c r="C284" s="19" t="str">
        <f>[2]Base!C284</f>
        <v>NM</v>
      </c>
      <c r="D284" s="19" t="str">
        <f>[2]Base!EQ284</f>
        <v>Exploração de Rodovias</v>
      </c>
      <c r="E284" s="19" t="str">
        <f>[2]Base!M284</f>
        <v>Bradesco BBI</v>
      </c>
      <c r="F284" s="19" t="str">
        <f>[2]Base!F284</f>
        <v>FOLLOW-ON</v>
      </c>
      <c r="G284" s="19" t="str">
        <f>[2]Base!G284</f>
        <v>ICVM 476</v>
      </c>
      <c r="H284" s="20">
        <f>[2]Base!X284</f>
        <v>42775</v>
      </c>
      <c r="I284" s="21">
        <f>[2]Base!W284</f>
        <v>16</v>
      </c>
      <c r="J284" s="22">
        <f>[2]Base!J284</f>
        <v>42776</v>
      </c>
      <c r="K284" s="72">
        <f>[2]Base!BL284</f>
        <v>0</v>
      </c>
      <c r="L284" s="72">
        <f>[2]Base!DZ284</f>
        <v>396</v>
      </c>
      <c r="M284" s="24">
        <f>[2]Base!AO284</f>
        <v>4070604800</v>
      </c>
      <c r="N284" s="24">
        <f>[2]Base!AP284</f>
        <v>0</v>
      </c>
      <c r="O284" s="25">
        <f>[2]Base!AQ284</f>
        <v>4070604800</v>
      </c>
      <c r="P284" s="26">
        <f>[2]Base!EF284</f>
        <v>9.2369566311128996E-5</v>
      </c>
      <c r="Q284" s="26">
        <f>[2]Base!EH284</f>
        <v>0.12943539790450795</v>
      </c>
      <c r="R284" s="26">
        <f>[2]Base!EJ284</f>
        <v>0.68391256650608778</v>
      </c>
      <c r="S284" s="27">
        <f>[2]Base!EL284</f>
        <v>0.18655966602309318</v>
      </c>
    </row>
    <row r="285" spans="2:19" ht="13.2" x14ac:dyDescent="0.25">
      <c r="B285" s="18" t="str">
        <f>[2]Base!A285</f>
        <v>LOJAS AMERIC</v>
      </c>
      <c r="C285" s="19" t="str">
        <f>[2]Base!C285</f>
        <v>BÁSICO</v>
      </c>
      <c r="D285" s="19" t="str">
        <f>[2]Base!EQ285</f>
        <v>Produtos Diversos</v>
      </c>
      <c r="E285" s="19" t="str">
        <f>[2]Base!M285</f>
        <v>Credit Suisse</v>
      </c>
      <c r="F285" s="19" t="str">
        <f>[2]Base!F285</f>
        <v>FOLLOW-ON</v>
      </c>
      <c r="G285" s="19" t="str">
        <f>[2]Base!G285</f>
        <v>ICVM 476</v>
      </c>
      <c r="H285" s="20">
        <f>[2]Base!X285</f>
        <v>42802</v>
      </c>
      <c r="I285" s="21">
        <f>[2]Base!W285</f>
        <v>15.798929639613231</v>
      </c>
      <c r="J285" s="22">
        <f>[2]Base!J285</f>
        <v>42804</v>
      </c>
      <c r="K285" s="72">
        <f>[2]Base!BL285</f>
        <v>0</v>
      </c>
      <c r="L285" s="72">
        <f>[2]Base!DZ285</f>
        <v>1203</v>
      </c>
      <c r="M285" s="24">
        <f>[2]Base!AO285</f>
        <v>2405053617.02</v>
      </c>
      <c r="N285" s="24">
        <f>[2]Base!AP285</f>
        <v>0</v>
      </c>
      <c r="O285" s="25">
        <f>[2]Base!AQ285</f>
        <v>2405053617.02</v>
      </c>
      <c r="P285" s="26">
        <f>[2]Base!EF285</f>
        <v>1.0287140228619933E-3</v>
      </c>
      <c r="Q285" s="26">
        <f>[2]Base!EH285</f>
        <v>0.38560231035243137</v>
      </c>
      <c r="R285" s="26">
        <f>[2]Base!EJ285</f>
        <v>0.47038976752481998</v>
      </c>
      <c r="S285" s="27">
        <f>[2]Base!EL285</f>
        <v>0.14297920809988662</v>
      </c>
    </row>
    <row r="286" spans="2:19" ht="13.2" x14ac:dyDescent="0.25">
      <c r="B286" s="18" t="str">
        <f>[2]Base!A286</f>
        <v>ALUPAR</v>
      </c>
      <c r="C286" s="19" t="str">
        <f>[2]Base!C286</f>
        <v>N2</v>
      </c>
      <c r="D286" s="19" t="str">
        <f>[2]Base!EQ286</f>
        <v>Energia Elétrica</v>
      </c>
      <c r="E286" s="19" t="str">
        <f>[2]Base!M286</f>
        <v>Santander</v>
      </c>
      <c r="F286" s="19" t="str">
        <f>[2]Base!F286</f>
        <v>FOLLOW-ON</v>
      </c>
      <c r="G286" s="19" t="str">
        <f>[2]Base!G286</f>
        <v>ICVM 476</v>
      </c>
      <c r="H286" s="20">
        <f>[2]Base!X286</f>
        <v>42829</v>
      </c>
      <c r="I286" s="21">
        <f>[2]Base!W286</f>
        <v>6.5</v>
      </c>
      <c r="J286" s="22">
        <f>[2]Base!J286</f>
        <v>42831</v>
      </c>
      <c r="K286" s="72">
        <f>[2]Base!BL286</f>
        <v>150</v>
      </c>
      <c r="L286" s="72">
        <f>[2]Base!DZ286</f>
        <v>811</v>
      </c>
      <c r="M286" s="24">
        <f>[2]Base!AO286</f>
        <v>833462493.5</v>
      </c>
      <c r="N286" s="24">
        <f>[2]Base!AP286</f>
        <v>0</v>
      </c>
      <c r="O286" s="25">
        <f>[2]Base!AQ286</f>
        <v>833462493.5</v>
      </c>
      <c r="P286" s="26">
        <f>[2]Base!EF286</f>
        <v>2.6108637364855819E-3</v>
      </c>
      <c r="Q286" s="26">
        <f>[2]Base!EH286</f>
        <v>0.44916412126468414</v>
      </c>
      <c r="R286" s="26">
        <f>[2]Base!EJ286</f>
        <v>0.54812231271688294</v>
      </c>
      <c r="S286" s="27">
        <f>[2]Base!EL286</f>
        <v>1.0270228194737596E-4</v>
      </c>
    </row>
    <row r="287" spans="2:19" ht="13.2" x14ac:dyDescent="0.25">
      <c r="B287" s="18" t="str">
        <f>[2]Base!A287</f>
        <v>AZUL¹</v>
      </c>
      <c r="C287" s="19" t="str">
        <f>[2]Base!C287</f>
        <v>N2</v>
      </c>
      <c r="D287" s="19" t="str">
        <f>[2]Base!EQ287</f>
        <v>Transporte Aéreo</v>
      </c>
      <c r="E287" s="19" t="str">
        <f>[2]Base!M287</f>
        <v>Itaú BBA</v>
      </c>
      <c r="F287" s="19" t="str">
        <f>[2]Base!F287</f>
        <v>IPO</v>
      </c>
      <c r="G287" s="19" t="str">
        <f>[2]Base!G287</f>
        <v>ICVM 400</v>
      </c>
      <c r="H287" s="20">
        <f>[2]Base!X287</f>
        <v>42835</v>
      </c>
      <c r="I287" s="21">
        <f>[2]Base!W287</f>
        <v>21</v>
      </c>
      <c r="J287" s="22">
        <f>[2]Base!J287</f>
        <v>42836</v>
      </c>
      <c r="K287" s="72">
        <f>[2]Base!BL287</f>
        <v>1517</v>
      </c>
      <c r="L287" s="72">
        <f>[2]Base!DZ287</f>
        <v>1753</v>
      </c>
      <c r="M287" s="24">
        <f>[2]Base!AO287</f>
        <v>1323000000</v>
      </c>
      <c r="N287" s="24">
        <f>[2]Base!AP287</f>
        <v>698036577</v>
      </c>
      <c r="O287" s="25">
        <f>[2]Base!AQ287</f>
        <v>2021036577</v>
      </c>
      <c r="P287" s="26">
        <f>[2]Base!EF287</f>
        <v>6.3673746662725544E-2</v>
      </c>
      <c r="Q287" s="26">
        <f>[2]Base!EH287</f>
        <v>7.6148414507393652E-2</v>
      </c>
      <c r="R287" s="26">
        <f>[2]Base!EJ287</f>
        <v>0.8582679540490078</v>
      </c>
      <c r="S287" s="27">
        <f>[2]Base!EL287</f>
        <v>1.9098847808730183E-3</v>
      </c>
    </row>
    <row r="288" spans="2:19" ht="13.2" x14ac:dyDescent="0.25">
      <c r="B288" s="18" t="str">
        <f>[2]Base!A288</f>
        <v>SANTANDER BR ¹</v>
      </c>
      <c r="C288" s="19" t="str">
        <f>[2]Base!C288</f>
        <v>BÁSICO</v>
      </c>
      <c r="D288" s="19" t="str">
        <f>[2]Base!EQ288</f>
        <v>Bancos</v>
      </c>
      <c r="E288" s="19" t="str">
        <f>[2]Base!M288</f>
        <v>BofA Merrill Lynch</v>
      </c>
      <c r="F288" s="19" t="str">
        <f>[2]Base!F288</f>
        <v>FOLLOW-ON</v>
      </c>
      <c r="G288" s="19" t="str">
        <f>[2]Base!G288</f>
        <v>ICVM 476</v>
      </c>
      <c r="H288" s="20">
        <f>[2]Base!X288</f>
        <v>42831</v>
      </c>
      <c r="I288" s="21">
        <f>[2]Base!W288</f>
        <v>25</v>
      </c>
      <c r="J288" s="22">
        <f>[2]Base!J288</f>
        <v>42831</v>
      </c>
      <c r="K288" s="72">
        <f>[2]Base!BL288</f>
        <v>0</v>
      </c>
      <c r="L288" s="72">
        <f>[2]Base!DZ288</f>
        <v>157</v>
      </c>
      <c r="M288" s="24">
        <f>[2]Base!AO288</f>
        <v>0</v>
      </c>
      <c r="N288" s="24">
        <f>[2]Base!AP288</f>
        <v>2000000000</v>
      </c>
      <c r="O288" s="25">
        <f>[2]Base!AQ288</f>
        <v>2000000000</v>
      </c>
      <c r="P288" s="26">
        <f>[2]Base!EF288</f>
        <v>0</v>
      </c>
      <c r="Q288" s="26">
        <f>[2]Base!EH288</f>
        <v>0.19256071250000001</v>
      </c>
      <c r="R288" s="26">
        <f>[2]Base!EJ288</f>
        <v>0.80511428750000003</v>
      </c>
      <c r="S288" s="27">
        <f>[2]Base!EL288</f>
        <v>2.3249999999999998E-3</v>
      </c>
    </row>
    <row r="289" spans="2:19" ht="13.2" x14ac:dyDescent="0.25">
      <c r="B289" s="18" t="str">
        <f>[2]Base!A289</f>
        <v>BR MALLS PAR</v>
      </c>
      <c r="C289" s="19" t="str">
        <f>[2]Base!C289</f>
        <v>NM</v>
      </c>
      <c r="D289" s="19" t="str">
        <f>[2]Base!EQ289</f>
        <v>Exploração de Imóveis</v>
      </c>
      <c r="E289" s="19" t="str">
        <f>[2]Base!M289</f>
        <v>Itaú BBA</v>
      </c>
      <c r="F289" s="19" t="str">
        <f>[2]Base!F289</f>
        <v>FOLLOW-ON</v>
      </c>
      <c r="G289" s="19" t="str">
        <f>[2]Base!G289</f>
        <v>ICVM 476</v>
      </c>
      <c r="H289" s="20">
        <f>[2]Base!X289</f>
        <v>42879</v>
      </c>
      <c r="I289" s="21">
        <f>[2]Base!W289</f>
        <v>11</v>
      </c>
      <c r="J289" s="22">
        <f>[2]Base!J289</f>
        <v>42879</v>
      </c>
      <c r="K289" s="72">
        <f>[2]Base!BL289</f>
        <v>53</v>
      </c>
      <c r="L289" s="72">
        <f>[2]Base!DZ289</f>
        <v>536</v>
      </c>
      <c r="M289" s="24">
        <f>[2]Base!AO289</f>
        <v>1730088492</v>
      </c>
      <c r="N289" s="24">
        <f>[2]Base!AP289</f>
        <v>0</v>
      </c>
      <c r="O289" s="25">
        <f>[2]Base!AQ289</f>
        <v>1730088492</v>
      </c>
      <c r="P289" s="26">
        <f>[2]Base!EF289</f>
        <v>1.9905166793052109E-4</v>
      </c>
      <c r="Q289" s="26">
        <f>[2]Base!EH289</f>
        <v>0.33419547940672623</v>
      </c>
      <c r="R289" s="26">
        <f>[2]Base!EJ289</f>
        <v>0.66158176665104362</v>
      </c>
      <c r="S289" s="27">
        <f>[2]Base!EL289</f>
        <v>4.02370227429962E-3</v>
      </c>
    </row>
    <row r="290" spans="2:19" ht="13.2" x14ac:dyDescent="0.25">
      <c r="B290" s="18" t="str">
        <f>[2]Base!A290</f>
        <v>BR PROPERT</v>
      </c>
      <c r="C290" s="19" t="str">
        <f>[2]Base!C290</f>
        <v>NM</v>
      </c>
      <c r="D290" s="19" t="str">
        <f>[2]Base!EQ290</f>
        <v xml:space="preserve">Exploração de Imóveis </v>
      </c>
      <c r="E290" s="19" t="str">
        <f>[2]Base!M290</f>
        <v>Itaú BBA</v>
      </c>
      <c r="F290" s="19" t="str">
        <f>[2]Base!F290</f>
        <v>FOLLOW-ON</v>
      </c>
      <c r="G290" s="19" t="str">
        <f>[2]Base!G290</f>
        <v>ICVM 476</v>
      </c>
      <c r="H290" s="20">
        <f>[2]Base!X290</f>
        <v>42915</v>
      </c>
      <c r="I290" s="21">
        <f>[2]Base!W290</f>
        <v>8.75</v>
      </c>
      <c r="J290" s="22">
        <f>[2]Base!J290</f>
        <v>42919</v>
      </c>
      <c r="K290" s="72">
        <f>[2]Base!BL290</f>
        <v>12</v>
      </c>
      <c r="L290" s="72">
        <f>[2]Base!DZ290</f>
        <v>179</v>
      </c>
      <c r="M290" s="24">
        <f>[2]Base!AO290</f>
        <v>952934928.75</v>
      </c>
      <c r="N290" s="24">
        <f>[2]Base!AP290</f>
        <v>0</v>
      </c>
      <c r="O290" s="25">
        <f>[2]Base!AQ290</f>
        <v>952934928.75</v>
      </c>
      <c r="P290" s="26">
        <f>[2]Base!EF290</f>
        <v>3.2091645586036556E-5</v>
      </c>
      <c r="Q290" s="26">
        <f>[2]Base!EH290</f>
        <v>4.1219675724894031E-2</v>
      </c>
      <c r="R290" s="26">
        <f>[2]Base!EJ290</f>
        <v>0.95874823262951991</v>
      </c>
      <c r="S290" s="27">
        <f>[2]Base!EL290</f>
        <v>0</v>
      </c>
    </row>
    <row r="291" spans="2:19" ht="13.2" x14ac:dyDescent="0.25">
      <c r="B291" s="18" t="str">
        <f>[2]Base!A291</f>
        <v>CARREFOUR BR</v>
      </c>
      <c r="C291" s="19" t="str">
        <f>[2]Base!C291</f>
        <v>NM</v>
      </c>
      <c r="D291" s="19" t="str">
        <f>[2]Base!EQ291</f>
        <v>Alimentos</v>
      </c>
      <c r="E291" s="19" t="str">
        <f>[2]Base!M291</f>
        <v>Itaú BBA</v>
      </c>
      <c r="F291" s="19" t="str">
        <f>[2]Base!F291</f>
        <v>IPO</v>
      </c>
      <c r="G291" s="19" t="str">
        <f>[2]Base!G291</f>
        <v>ICVM 400</v>
      </c>
      <c r="H291" s="20">
        <f>[2]Base!X291</f>
        <v>42934</v>
      </c>
      <c r="I291" s="21">
        <f>[2]Base!W291</f>
        <v>15</v>
      </c>
      <c r="J291" s="22">
        <f>[2]Base!J291</f>
        <v>42936</v>
      </c>
      <c r="K291" s="72">
        <f>[2]Base!BL291</f>
        <v>4068</v>
      </c>
      <c r="L291" s="72">
        <f>[2]Base!DZ291</f>
        <v>4839</v>
      </c>
      <c r="M291" s="24">
        <f>[2]Base!AO291</f>
        <v>3088235295</v>
      </c>
      <c r="N291" s="24">
        <f>[2]Base!AP291</f>
        <v>1884470475</v>
      </c>
      <c r="O291" s="25">
        <f>[2]Base!AQ291</f>
        <v>4972705770</v>
      </c>
      <c r="P291" s="26">
        <f>[2]Base!EF291</f>
        <v>4.7275200792959243E-2</v>
      </c>
      <c r="Q291" s="26">
        <f>[2]Base!EH291</f>
        <v>0.31807122323055381</v>
      </c>
      <c r="R291" s="26">
        <f>[2]Base!EJ291</f>
        <v>0.62964555787178444</v>
      </c>
      <c r="S291" s="27">
        <f>[2]Base!EL291</f>
        <v>5.0080181047025508E-3</v>
      </c>
    </row>
    <row r="292" spans="2:19" ht="13.2" x14ac:dyDescent="0.25">
      <c r="B292" s="18" t="str">
        <f>[2]Base!A292</f>
        <v>BIOTOSCANA</v>
      </c>
      <c r="C292" s="19" t="str">
        <f>[2]Base!C292</f>
        <v>BDR</v>
      </c>
      <c r="D292" s="19" t="str">
        <f>[2]Base!EQ292</f>
        <v>Medicamentos e Outros Produtos</v>
      </c>
      <c r="E292" s="19" t="str">
        <f>[2]Base!M292</f>
        <v>JP Morgan</v>
      </c>
      <c r="F292" s="19" t="str">
        <f>[2]Base!F292</f>
        <v>IPO</v>
      </c>
      <c r="G292" s="19" t="str">
        <f>[2]Base!G292</f>
        <v>ICVM 400</v>
      </c>
      <c r="H292" s="20">
        <f>[2]Base!X292</f>
        <v>42934</v>
      </c>
      <c r="I292" s="21">
        <f>[2]Base!W292</f>
        <v>26.5</v>
      </c>
      <c r="J292" s="22">
        <f>[2]Base!J292</f>
        <v>42941</v>
      </c>
      <c r="K292" s="72">
        <f>[2]Base!BL292</f>
        <v>4295</v>
      </c>
      <c r="L292" s="72">
        <f>[2]Base!DZ292</f>
        <v>4661</v>
      </c>
      <c r="M292" s="24">
        <f>[2]Base!AO292</f>
        <v>424000000</v>
      </c>
      <c r="N292" s="24">
        <f>[2]Base!AP292</f>
        <v>917562500</v>
      </c>
      <c r="O292" s="25">
        <f>[2]Base!AQ292</f>
        <v>1341562500</v>
      </c>
      <c r="P292" s="26">
        <f>[2]Base!EF292</f>
        <v>9.5759269135802474E-2</v>
      </c>
      <c r="Q292" s="26">
        <f>[2]Base!EH292</f>
        <v>0.22420246913580247</v>
      </c>
      <c r="R292" s="26">
        <f>[2]Base!EJ292</f>
        <v>0.67580843456790118</v>
      </c>
      <c r="S292" s="27">
        <f>[2]Base!EL292</f>
        <v>4.2298271604938268E-3</v>
      </c>
    </row>
    <row r="293" spans="2:19" ht="13.2" x14ac:dyDescent="0.25">
      <c r="B293" s="18" t="str">
        <f>[2]Base!A293</f>
        <v>IRBBRASIL RE</v>
      </c>
      <c r="C293" s="19" t="str">
        <f>[2]Base!C293</f>
        <v>NM</v>
      </c>
      <c r="D293" s="19" t="str">
        <f>[2]Base!EQ293</f>
        <v>Seguradoras</v>
      </c>
      <c r="E293" s="19" t="str">
        <f>[2]Base!M293</f>
        <v>Bradesco BBI</v>
      </c>
      <c r="F293" s="19" t="str">
        <f>[2]Base!F293</f>
        <v>IPO</v>
      </c>
      <c r="G293" s="19" t="str">
        <f>[2]Base!G293</f>
        <v>ICVM 400</v>
      </c>
      <c r="H293" s="20">
        <f>[2]Base!X293</f>
        <v>42943</v>
      </c>
      <c r="I293" s="21">
        <f>[2]Base!W293</f>
        <v>27.24</v>
      </c>
      <c r="J293" s="22">
        <f>[2]Base!J293</f>
        <v>42947</v>
      </c>
      <c r="K293" s="72">
        <f>[2]Base!BL293</f>
        <v>7324</v>
      </c>
      <c r="L293" s="72">
        <f>[2]Base!DZ293</f>
        <v>7879</v>
      </c>
      <c r="M293" s="24">
        <f>[2]Base!AO293</f>
        <v>0</v>
      </c>
      <c r="N293" s="24">
        <f>[2]Base!AP293</f>
        <v>2003610960</v>
      </c>
      <c r="O293" s="25">
        <f>[2]Base!AQ293</f>
        <v>2003610960</v>
      </c>
      <c r="P293" s="26">
        <f>[2]Base!EF293</f>
        <v>9.6732128776137266E-2</v>
      </c>
      <c r="Q293" s="26">
        <f>[2]Base!EH293</f>
        <v>0.26792439568208393</v>
      </c>
      <c r="R293" s="26">
        <f>[2]Base!EJ293</f>
        <v>0.63158524349457534</v>
      </c>
      <c r="S293" s="27">
        <f>[2]Base!EL293</f>
        <v>3.758232047203415E-3</v>
      </c>
    </row>
    <row r="294" spans="2:19" ht="13.2" x14ac:dyDescent="0.25">
      <c r="B294" s="18" t="str">
        <f>[2]Base!A294</f>
        <v>OMEGA GER</v>
      </c>
      <c r="C294" s="19" t="str">
        <f>[2]Base!C294</f>
        <v>NM</v>
      </c>
      <c r="D294" s="19" t="str">
        <f>[2]Base!EQ294</f>
        <v>Energia Elétrica</v>
      </c>
      <c r="E294" s="19" t="str">
        <f>[2]Base!M294</f>
        <v>BTG Pactual</v>
      </c>
      <c r="F294" s="19" t="str">
        <f>[2]Base!F294</f>
        <v>IPO</v>
      </c>
      <c r="G294" s="19" t="str">
        <f>[2]Base!G294</f>
        <v>ICVM 400</v>
      </c>
      <c r="H294" s="20">
        <f>[2]Base!X294</f>
        <v>42943</v>
      </c>
      <c r="I294" s="21">
        <f>[2]Base!W294</f>
        <v>15.6</v>
      </c>
      <c r="J294" s="22">
        <f>[2]Base!J294</f>
        <v>42947</v>
      </c>
      <c r="K294" s="72">
        <f>[2]Base!BL294</f>
        <v>776</v>
      </c>
      <c r="L294" s="72">
        <f>[2]Base!DZ294</f>
        <v>1017</v>
      </c>
      <c r="M294" s="24">
        <f>[2]Base!AO294</f>
        <v>538538504.39999998</v>
      </c>
      <c r="N294" s="24">
        <f>[2]Base!AP294</f>
        <v>250637961.59999999</v>
      </c>
      <c r="O294" s="25">
        <f>[2]Base!AQ294</f>
        <v>789176466</v>
      </c>
      <c r="P294" s="26">
        <f>[2]Base!EF294</f>
        <v>4.0555793259045306E-2</v>
      </c>
      <c r="Q294" s="26">
        <f>[2]Base!EH294</f>
        <v>0.59343803949673268</v>
      </c>
      <c r="R294" s="26">
        <f>[2]Base!EJ294</f>
        <v>0.24830644911806074</v>
      </c>
      <c r="S294" s="27">
        <f>[2]Base!EL294</f>
        <v>0.11769971812616115</v>
      </c>
    </row>
    <row r="295" spans="2:19" ht="13.2" x14ac:dyDescent="0.25">
      <c r="B295" s="18" t="str">
        <f>[2]Base!A295</f>
        <v>BAHEMA</v>
      </c>
      <c r="C295" s="19" t="str">
        <f>[2]Base!C295</f>
        <v>BÁSICO</v>
      </c>
      <c r="D295" s="19" t="str">
        <f>[2]Base!EQ295</f>
        <v>Holdings Diversificadas</v>
      </c>
      <c r="E295" s="19" t="str">
        <f>[2]Base!M295</f>
        <v>Coinvalores CCVM Ltda.</v>
      </c>
      <c r="F295" s="19" t="str">
        <f>[2]Base!F295</f>
        <v>FOLLOW-ON</v>
      </c>
      <c r="G295" s="19" t="str">
        <f>[2]Base!G295</f>
        <v>ICVM 476</v>
      </c>
      <c r="H295" s="20">
        <f>[2]Base!X295</f>
        <v>42825</v>
      </c>
      <c r="I295" s="21">
        <f>[2]Base!W295</f>
        <v>53.78</v>
      </c>
      <c r="J295" s="22">
        <f>[2]Base!J295</f>
        <v>42951</v>
      </c>
      <c r="K295" s="72">
        <f>[2]Base!BL295</f>
        <v>2</v>
      </c>
      <c r="L295" s="72">
        <f>[2]Base!DZ295</f>
        <v>11</v>
      </c>
      <c r="M295" s="24">
        <f>[2]Base!AO295</f>
        <v>30555214.559999999</v>
      </c>
      <c r="N295" s="24">
        <f>[2]Base!AP295</f>
        <v>0</v>
      </c>
      <c r="O295" s="25">
        <f>[2]Base!AQ295</f>
        <v>30555214.559999999</v>
      </c>
      <c r="P295" s="26">
        <f>[2]Base!EF295</f>
        <v>2.4641293175065825E-2</v>
      </c>
      <c r="Q295" s="26">
        <f>[2]Base!EH295</f>
        <v>0.75683971894845037</v>
      </c>
      <c r="R295" s="26">
        <f>[2]Base!EJ295</f>
        <v>0</v>
      </c>
      <c r="S295" s="27">
        <f>[2]Base!EL295</f>
        <v>0.21851898787648374</v>
      </c>
    </row>
    <row r="296" spans="2:19" ht="13.2" x14ac:dyDescent="0.25">
      <c r="B296" s="18" t="str">
        <f>[2]Base!A296</f>
        <v>MAGAZ LUIZA</v>
      </c>
      <c r="C296" s="19" t="str">
        <f>[2]Base!C296</f>
        <v>NM</v>
      </c>
      <c r="D296" s="19" t="str">
        <f>[2]Base!EQ296</f>
        <v>Eletrodomésticos</v>
      </c>
      <c r="E296" s="19" t="str">
        <f>[2]Base!M296</f>
        <v>BofA Merrill Lynch</v>
      </c>
      <c r="F296" s="19" t="str">
        <f>[2]Base!F296</f>
        <v>FOLLOW-ON</v>
      </c>
      <c r="G296" s="19" t="str">
        <f>[2]Base!G296</f>
        <v>ICVM 476</v>
      </c>
      <c r="H296" s="20">
        <f>[2]Base!X296</f>
        <v>43005</v>
      </c>
      <c r="I296" s="21">
        <f>[2]Base!W296</f>
        <v>65</v>
      </c>
      <c r="J296" s="22">
        <f>[2]Base!J296</f>
        <v>43007</v>
      </c>
      <c r="K296" s="72">
        <f>[2]Base!BL296</f>
        <v>71</v>
      </c>
      <c r="L296" s="72">
        <f>[2]Base!DZ296</f>
        <v>155</v>
      </c>
      <c r="M296" s="24">
        <f>[2]Base!AO296</f>
        <v>1144000000</v>
      </c>
      <c r="N296" s="24">
        <f>[2]Base!AP296</f>
        <v>416000000</v>
      </c>
      <c r="O296" s="25">
        <f>[2]Base!AQ296</f>
        <v>1560000000</v>
      </c>
      <c r="P296" s="26">
        <f>[2]Base!EF296</f>
        <v>7.093333333333333E-4</v>
      </c>
      <c r="Q296" s="26">
        <f>[2]Base!EH296</f>
        <v>0.33676325000000001</v>
      </c>
      <c r="R296" s="26">
        <f>[2]Base!EJ296</f>
        <v>0.6625274166666667</v>
      </c>
      <c r="S296" s="27">
        <f>[2]Base!EL296</f>
        <v>0</v>
      </c>
    </row>
    <row r="297" spans="2:19" ht="13.2" x14ac:dyDescent="0.25">
      <c r="B297" s="18" t="str">
        <f>[2]Base!A297</f>
        <v>PARANAPANEMA</v>
      </c>
      <c r="C297" s="19" t="str">
        <f>[2]Base!C297</f>
        <v>NM</v>
      </c>
      <c r="D297" s="19" t="str">
        <f>[2]Base!EQ297</f>
        <v>Artefatos de Cobre</v>
      </c>
      <c r="E297" s="19" t="str">
        <f>[2]Base!M297</f>
        <v>Modal</v>
      </c>
      <c r="F297" s="19" t="str">
        <f>[2]Base!F297</f>
        <v>FOLLOW-ON</v>
      </c>
      <c r="G297" s="19" t="str">
        <f>[2]Base!G297</f>
        <v>ICVM 476</v>
      </c>
      <c r="H297" s="20">
        <f>[2]Base!X297</f>
        <v>42991</v>
      </c>
      <c r="I297" s="21">
        <f>[2]Base!W297</f>
        <v>1.56</v>
      </c>
      <c r="J297" s="22">
        <f>[2]Base!J297</f>
        <v>42993</v>
      </c>
      <c r="K297" s="72">
        <f>[2]Base!BL297</f>
        <v>0</v>
      </c>
      <c r="L297" s="72">
        <f>[2]Base!DZ297</f>
        <v>39</v>
      </c>
      <c r="M297" s="24">
        <f>[2]Base!AO297</f>
        <v>0</v>
      </c>
      <c r="N297" s="24">
        <f>[2]Base!AP297</f>
        <v>352358788.07999998</v>
      </c>
      <c r="O297" s="25">
        <f>[2]Base!AQ297</f>
        <v>352358788.07999998</v>
      </c>
      <c r="P297" s="26">
        <f>[2]Base!EF297</f>
        <v>0</v>
      </c>
      <c r="Q297" s="26">
        <f>[2]Base!EH297</f>
        <v>0</v>
      </c>
      <c r="R297" s="26">
        <f>[2]Base!EJ297</f>
        <v>0.18730907743108505</v>
      </c>
      <c r="S297" s="27">
        <f>[2]Base!EL297</f>
        <v>0.81269092256891518</v>
      </c>
    </row>
    <row r="298" spans="2:19" ht="13.2" x14ac:dyDescent="0.25">
      <c r="B298" s="18" t="str">
        <f>[2]Base!A298</f>
        <v>AZUL ¹</v>
      </c>
      <c r="C298" s="19" t="str">
        <f>[2]Base!C298</f>
        <v>N2</v>
      </c>
      <c r="D298" s="19" t="str">
        <f>[2]Base!EQ298</f>
        <v>Transporte Aéreo</v>
      </c>
      <c r="E298" s="19" t="str">
        <f>[2]Base!M298</f>
        <v>Itaú BBA</v>
      </c>
      <c r="F298" s="19" t="str">
        <f>[2]Base!F298</f>
        <v>FOLLOW-ON</v>
      </c>
      <c r="G298" s="19" t="str">
        <f>[2]Base!G298</f>
        <v>ICVM 476</v>
      </c>
      <c r="H298" s="20">
        <f>[2]Base!X298</f>
        <v>42992</v>
      </c>
      <c r="I298" s="21">
        <f>[2]Base!W298</f>
        <v>27.96</v>
      </c>
      <c r="J298" s="22">
        <f>[2]Base!J298</f>
        <v>42997</v>
      </c>
      <c r="K298" s="72">
        <f>[2]Base!BL298</f>
        <v>0</v>
      </c>
      <c r="L298" s="72">
        <f>[2]Base!DZ298</f>
        <v>145</v>
      </c>
      <c r="M298" s="24">
        <f>[2]Base!AO298</f>
        <v>0</v>
      </c>
      <c r="N298" s="24">
        <f>[2]Base!AP298</f>
        <v>1249622011.8</v>
      </c>
      <c r="O298" s="25">
        <f>[2]Base!AQ298</f>
        <v>1249622011.8</v>
      </c>
      <c r="P298" s="26">
        <f>[2]Base!EF298</f>
        <v>0</v>
      </c>
      <c r="Q298" s="26">
        <f>[2]Base!EH298</f>
        <v>7.5092426904692824E-2</v>
      </c>
      <c r="R298" s="26">
        <f>[2]Base!EJ298</f>
        <v>0.92490757309530713</v>
      </c>
      <c r="S298" s="27">
        <f>[2]Base!EL298</f>
        <v>0</v>
      </c>
    </row>
    <row r="299" spans="2:19" ht="13.2" x14ac:dyDescent="0.25">
      <c r="B299" s="18" t="str">
        <f>[2]Base!A299</f>
        <v>CAMIL</v>
      </c>
      <c r="C299" s="19" t="str">
        <f>[2]Base!C299</f>
        <v>NM</v>
      </c>
      <c r="D299" s="19" t="str">
        <f>[2]Base!EQ299</f>
        <v>Alimentos Diversos</v>
      </c>
      <c r="E299" s="19" t="str">
        <f>[2]Base!M299</f>
        <v>BofA Merrill Lynch</v>
      </c>
      <c r="F299" s="19" t="str">
        <f>[2]Base!F299</f>
        <v>IPO</v>
      </c>
      <c r="G299" s="19" t="str">
        <f>[2]Base!G299</f>
        <v>ICVM 400</v>
      </c>
      <c r="H299" s="20">
        <f>[2]Base!X299</f>
        <v>42998</v>
      </c>
      <c r="I299" s="21">
        <f>[2]Base!W299</f>
        <v>9</v>
      </c>
      <c r="J299" s="22">
        <f>[2]Base!J299</f>
        <v>43006</v>
      </c>
      <c r="K299" s="72">
        <f>[2]Base!BL299</f>
        <v>2573</v>
      </c>
      <c r="L299" s="72">
        <f>[2]Base!DZ299</f>
        <v>2940</v>
      </c>
      <c r="M299" s="24">
        <f>[2]Base!AO299</f>
        <v>369000000</v>
      </c>
      <c r="N299" s="24">
        <f>[2]Base!AP299</f>
        <v>778500000</v>
      </c>
      <c r="O299" s="25">
        <f>[2]Base!AQ299</f>
        <v>1147500000</v>
      </c>
      <c r="P299" s="26">
        <f>[2]Base!EF299</f>
        <v>9.0348453537936912E-2</v>
      </c>
      <c r="Q299" s="26">
        <f>[2]Base!EH299</f>
        <v>0.55473237169650469</v>
      </c>
      <c r="R299" s="26">
        <f>[2]Base!EJ299</f>
        <v>0.34709945780051149</v>
      </c>
      <c r="S299" s="27">
        <f>[2]Base!EL299</f>
        <v>7.8197169650468887E-3</v>
      </c>
    </row>
    <row r="300" spans="2:19" ht="13.2" x14ac:dyDescent="0.25">
      <c r="B300" s="18" t="str">
        <f>[2]Base!A300</f>
        <v>ENEVA</v>
      </c>
      <c r="C300" s="19" t="str">
        <f>[2]Base!C300</f>
        <v>NM</v>
      </c>
      <c r="D300" s="19" t="str">
        <f>[2]Base!EQ300</f>
        <v>Energia Elétrica</v>
      </c>
      <c r="E300" s="19" t="str">
        <f>[2]Base!M300</f>
        <v>BTG Pactual</v>
      </c>
      <c r="F300" s="19" t="str">
        <f>[2]Base!F300</f>
        <v>FOLLOW-ON</v>
      </c>
      <c r="G300" s="19" t="str">
        <f>[2]Base!G300</f>
        <v>ICVM 400</v>
      </c>
      <c r="H300" s="20">
        <f>[2]Base!X300</f>
        <v>43013</v>
      </c>
      <c r="I300" s="21">
        <f>[2]Base!W300</f>
        <v>11</v>
      </c>
      <c r="J300" s="22">
        <f>[2]Base!J300</f>
        <v>43014</v>
      </c>
      <c r="K300" s="72">
        <f>[2]Base!BL300</f>
        <v>261</v>
      </c>
      <c r="L300" s="72">
        <f>[2]Base!DZ300</f>
        <v>426</v>
      </c>
      <c r="M300" s="24">
        <f>[2]Base!AO300</f>
        <v>834482759</v>
      </c>
      <c r="N300" s="24">
        <f>[2]Base!AP300</f>
        <v>41724133</v>
      </c>
      <c r="O300" s="25">
        <f>[2]Base!AQ300</f>
        <v>876206892</v>
      </c>
      <c r="P300" s="26">
        <f>[2]Base!EF300</f>
        <v>1.5021861982797551E-2</v>
      </c>
      <c r="Q300" s="26">
        <f>[2]Base!EH300</f>
        <v>0.53518100494466325</v>
      </c>
      <c r="R300" s="26">
        <f>[2]Base!EJ300</f>
        <v>0.31226320118924605</v>
      </c>
      <c r="S300" s="27">
        <f>[2]Base!EL300</f>
        <v>0.13753393188329316</v>
      </c>
    </row>
    <row r="301" spans="2:19" ht="13.2" x14ac:dyDescent="0.25">
      <c r="B301" s="18" t="str">
        <f>[2]Base!A301</f>
        <v>VULCABRAS</v>
      </c>
      <c r="C301" s="19" t="str">
        <f>[2]Base!C301</f>
        <v>NM</v>
      </c>
      <c r="D301" s="19" t="str">
        <f>[2]Base!EQ301</f>
        <v>Calçados</v>
      </c>
      <c r="E301" s="19" t="str">
        <f>[2]Base!M301</f>
        <v>Credit Suisse</v>
      </c>
      <c r="F301" s="19" t="str">
        <f>[2]Base!F301</f>
        <v>FOLLOW-ON</v>
      </c>
      <c r="G301" s="19" t="str">
        <f>[2]Base!G301</f>
        <v>ICVM 400</v>
      </c>
      <c r="H301" s="20">
        <f>[2]Base!X301</f>
        <v>43032</v>
      </c>
      <c r="I301" s="21">
        <f>[2]Base!W301</f>
        <v>9.5</v>
      </c>
      <c r="J301" s="22">
        <f>[2]Base!J301</f>
        <v>43033</v>
      </c>
      <c r="K301" s="72">
        <f>[2]Base!BL301</f>
        <v>1030</v>
      </c>
      <c r="L301" s="72">
        <f>[2]Base!DZ301</f>
        <v>1288</v>
      </c>
      <c r="M301" s="24">
        <f>[2]Base!AO301</f>
        <v>574997000</v>
      </c>
      <c r="N301" s="24">
        <f>[2]Base!AP301</f>
        <v>111460431.5</v>
      </c>
      <c r="O301" s="25">
        <f>[2]Base!AQ301</f>
        <v>686457431.5</v>
      </c>
      <c r="P301" s="26">
        <f>[2]Base!EF301</f>
        <v>0.10086817991179797</v>
      </c>
      <c r="Q301" s="26">
        <f>[2]Base!EH301</f>
        <v>0.64801417078657397</v>
      </c>
      <c r="R301" s="26">
        <f>[2]Base!EJ301</f>
        <v>0.24951614707115896</v>
      </c>
      <c r="S301" s="27">
        <f>[2]Base!EL301</f>
        <v>1.6015022304690975E-3</v>
      </c>
    </row>
    <row r="302" spans="2:19" ht="13.2" x14ac:dyDescent="0.25">
      <c r="B302" s="18" t="str">
        <f>[2]Base!A302</f>
        <v>RUMO S.A.</v>
      </c>
      <c r="C302" s="19" t="str">
        <f>[2]Base!C302</f>
        <v>NM</v>
      </c>
      <c r="D302" s="19" t="str">
        <f>[2]Base!EQ302</f>
        <v>Transporte Ferroviário</v>
      </c>
      <c r="E302" s="19" t="str">
        <f>[2]Base!M302</f>
        <v>Bradesco BBI</v>
      </c>
      <c r="F302" s="19" t="str">
        <f>[2]Base!F302</f>
        <v>FOLLOW-ON</v>
      </c>
      <c r="G302" s="19" t="str">
        <f>[2]Base!G302</f>
        <v>ICVM 476</v>
      </c>
      <c r="H302" s="20">
        <f>[2]Base!X302</f>
        <v>43012</v>
      </c>
      <c r="I302" s="21">
        <f>[2]Base!W302</f>
        <v>12</v>
      </c>
      <c r="J302" s="22">
        <f>[2]Base!J302</f>
        <v>43014</v>
      </c>
      <c r="K302" s="72">
        <f>[2]Base!BL302</f>
        <v>0</v>
      </c>
      <c r="L302" s="72">
        <f>[2]Base!DZ302</f>
        <v>76</v>
      </c>
      <c r="M302" s="24">
        <f>[2]Base!AO302</f>
        <v>2640000000</v>
      </c>
      <c r="N302" s="24">
        <f>[2]Base!AP302</f>
        <v>0</v>
      </c>
      <c r="O302" s="25">
        <f>[2]Base!AQ302</f>
        <v>2640000000</v>
      </c>
      <c r="P302" s="26">
        <f>[2]Base!EF302</f>
        <v>0</v>
      </c>
      <c r="Q302" s="26">
        <f>[2]Base!EH302</f>
        <v>0.17843048636363637</v>
      </c>
      <c r="R302" s="26">
        <f>[2]Base!EJ302</f>
        <v>0.23318181818181818</v>
      </c>
      <c r="S302" s="27">
        <f>[2]Base!EL302</f>
        <v>0.5883876954545455</v>
      </c>
    </row>
    <row r="303" spans="2:19" ht="13.2" x14ac:dyDescent="0.25">
      <c r="B303" s="18" t="str">
        <f>[2]Base!A303</f>
        <v>IMC S/A</v>
      </c>
      <c r="C303" s="19" t="str">
        <f>[2]Base!C303</f>
        <v>NM</v>
      </c>
      <c r="D303" s="19" t="str">
        <f>[2]Base!EQ303</f>
        <v>Restaurante e Similares</v>
      </c>
      <c r="E303" s="19" t="str">
        <f>[2]Base!M303</f>
        <v>BTG Pactual</v>
      </c>
      <c r="F303" s="19" t="str">
        <f>[2]Base!F303</f>
        <v>FOLLOW-ON</v>
      </c>
      <c r="G303" s="19" t="str">
        <f>[2]Base!G303</f>
        <v>ICVM 476</v>
      </c>
      <c r="H303" s="20">
        <f>[2]Base!X303</f>
        <v>43048</v>
      </c>
      <c r="I303" s="21">
        <f>[2]Base!W303</f>
        <v>8</v>
      </c>
      <c r="J303" s="22">
        <f>[2]Base!J303</f>
        <v>43052</v>
      </c>
      <c r="K303" s="72">
        <f>[2]Base!BL303</f>
        <v>0</v>
      </c>
      <c r="L303" s="72">
        <f>[2]Base!DZ303</f>
        <v>141</v>
      </c>
      <c r="M303" s="24">
        <f>[2]Base!AO303</f>
        <v>0</v>
      </c>
      <c r="N303" s="24">
        <f>[2]Base!AP303</f>
        <v>444592648</v>
      </c>
      <c r="O303" s="25">
        <f>[2]Base!AQ303</f>
        <v>444592648</v>
      </c>
      <c r="P303" s="26">
        <f>[2]Base!EF303</f>
        <v>8.9790058786577148E-5</v>
      </c>
      <c r="Q303" s="26">
        <f>[2]Base!EH303</f>
        <v>0.59937971803798251</v>
      </c>
      <c r="R303" s="26">
        <f>[2]Base!EJ303</f>
        <v>0.40053049190323092</v>
      </c>
      <c r="S303" s="27">
        <f>[2]Base!EL303</f>
        <v>0</v>
      </c>
    </row>
    <row r="304" spans="2:19" ht="13.2" x14ac:dyDescent="0.25">
      <c r="B304" s="18" t="str">
        <f>[2]Base!A304</f>
        <v>BK BRASIL</v>
      </c>
      <c r="C304" s="19" t="str">
        <f>[2]Base!C304</f>
        <v>NM</v>
      </c>
      <c r="D304" s="19" t="str">
        <f>[2]Base!EQ304</f>
        <v>Restaurante e Similares</v>
      </c>
      <c r="E304" s="19" t="str">
        <f>[2]Base!M304</f>
        <v>Itaú BBA</v>
      </c>
      <c r="F304" s="19" t="str">
        <f>[2]Base!F304</f>
        <v>IPO</v>
      </c>
      <c r="G304" s="19" t="str">
        <f>[2]Base!G304</f>
        <v>ICVM 400</v>
      </c>
      <c r="H304" s="20">
        <f>[2]Base!X304</f>
        <v>43083</v>
      </c>
      <c r="I304" s="21">
        <f>[2]Base!W304</f>
        <v>18</v>
      </c>
      <c r="J304" s="22">
        <f>[2]Base!J304</f>
        <v>43087</v>
      </c>
      <c r="K304" s="72">
        <f>[2]Base!BL304</f>
        <v>3281</v>
      </c>
      <c r="L304" s="72">
        <f>[2]Base!DZ304</f>
        <v>3672</v>
      </c>
      <c r="M304" s="24">
        <f>[2]Base!AO304</f>
        <v>886153842</v>
      </c>
      <c r="N304" s="24">
        <f>[2]Base!AP304</f>
        <v>1096968060</v>
      </c>
      <c r="O304" s="25">
        <f>[2]Base!AQ304</f>
        <v>1983121902</v>
      </c>
      <c r="P304" s="26">
        <f>[2]Base!EF304</f>
        <v>9.6651416517531591E-2</v>
      </c>
      <c r="Q304" s="26">
        <f>[2]Base!EH304</f>
        <v>0.13584876249517025</v>
      </c>
      <c r="R304" s="26">
        <f>[2]Base!EJ304</f>
        <v>0.76333477716099751</v>
      </c>
      <c r="S304" s="27">
        <f>[2]Base!EL304</f>
        <v>4.1650438263006184E-3</v>
      </c>
    </row>
    <row r="305" spans="2:19" ht="13.2" x14ac:dyDescent="0.25">
      <c r="B305" s="18" t="str">
        <f>[2]Base!A305</f>
        <v>LE LIS BLANC</v>
      </c>
      <c r="C305" s="19" t="str">
        <f>[2]Base!C305</f>
        <v>NM</v>
      </c>
      <c r="D305" s="19" t="str">
        <f>[2]Base!EQ305</f>
        <v>Tecidos. Vestuário e Calçados</v>
      </c>
      <c r="E305" s="19" t="str">
        <f>[2]Base!M305</f>
        <v>BTG Pactual</v>
      </c>
      <c r="F305" s="19" t="str">
        <f>[2]Base!F305</f>
        <v>FOLLOW-ON</v>
      </c>
      <c r="G305" s="19" t="str">
        <f>[2]Base!G305</f>
        <v>ICVM 476</v>
      </c>
      <c r="H305" s="20">
        <f>[2]Base!X305</f>
        <v>43069</v>
      </c>
      <c r="I305" s="21">
        <f>[2]Base!W305</f>
        <v>30</v>
      </c>
      <c r="J305" s="22">
        <f>[2]Base!J305</f>
        <v>43073</v>
      </c>
      <c r="K305" s="72">
        <f>[2]Base!BL305</f>
        <v>1</v>
      </c>
      <c r="L305" s="72">
        <f>[2]Base!DZ305</f>
        <v>40</v>
      </c>
      <c r="M305" s="24">
        <f>[2]Base!AO305</f>
        <v>148140000</v>
      </c>
      <c r="N305" s="24">
        <f>[2]Base!AP305</f>
        <v>0</v>
      </c>
      <c r="O305" s="25">
        <f>[2]Base!AQ305</f>
        <v>148140000</v>
      </c>
      <c r="P305" s="26">
        <f>[2]Base!EF305</f>
        <v>0.30544673957067636</v>
      </c>
      <c r="Q305" s="26">
        <f>[2]Base!EH305</f>
        <v>0</v>
      </c>
      <c r="R305" s="26">
        <f>[2]Base!EJ305</f>
        <v>6.0153908464965575E-3</v>
      </c>
      <c r="S305" s="27">
        <f>[2]Base!EL305</f>
        <v>0.68853786958282703</v>
      </c>
    </row>
    <row r="306" spans="2:19" ht="13.2" x14ac:dyDescent="0.25">
      <c r="B306" s="51" t="str">
        <f>[2]Base!A306</f>
        <v>PETROBRAS BR</v>
      </c>
      <c r="C306" s="52" t="str">
        <f>[2]Base!C306</f>
        <v>NM</v>
      </c>
      <c r="D306" s="52" t="str">
        <f>[2]Base!EQ306</f>
        <v>Exploração. Refino e Distribuição</v>
      </c>
      <c r="E306" s="52" t="str">
        <f>[2]Base!M306</f>
        <v>Citi</v>
      </c>
      <c r="F306" s="52" t="str">
        <f>[2]Base!F306</f>
        <v>IPO</v>
      </c>
      <c r="G306" s="52" t="str">
        <f>[2]Base!G306</f>
        <v>ICVM 400</v>
      </c>
      <c r="H306" s="53">
        <f>[2]Base!X306</f>
        <v>43082</v>
      </c>
      <c r="I306" s="54">
        <f>[2]Base!W306</f>
        <v>15</v>
      </c>
      <c r="J306" s="55">
        <f>[2]Base!J306</f>
        <v>43084</v>
      </c>
      <c r="K306" s="114">
        <f>[2]Base!BL306</f>
        <v>6808</v>
      </c>
      <c r="L306" s="114">
        <f>[2]Base!DZ306</f>
        <v>7658</v>
      </c>
      <c r="M306" s="57">
        <f>[2]Base!AO306</f>
        <v>655312500</v>
      </c>
      <c r="N306" s="57">
        <f>[2]Base!AP306</f>
        <v>4368750000</v>
      </c>
      <c r="O306" s="58">
        <f>[2]Base!AQ306</f>
        <v>5024062500</v>
      </c>
      <c r="P306" s="59">
        <f>[2]Base!EF306</f>
        <v>9.8186664676245566E-2</v>
      </c>
      <c r="Q306" s="59">
        <f>[2]Base!EH306</f>
        <v>0.24114632132860608</v>
      </c>
      <c r="R306" s="59">
        <f>[2]Base!EJ306</f>
        <v>0.65514977869005409</v>
      </c>
      <c r="S306" s="60">
        <f>[2]Base!EL306</f>
        <v>5.5172353050942343E-3</v>
      </c>
    </row>
    <row r="307" spans="2:19" ht="13.8" thickBot="1" x14ac:dyDescent="0.3">
      <c r="B307" s="115" t="str">
        <f>[2]Base!A307</f>
        <v>SANEPAR</v>
      </c>
      <c r="C307" s="116" t="str">
        <f>[2]Base!C307</f>
        <v>N2</v>
      </c>
      <c r="D307" s="116" t="str">
        <f>[2]Base!EQ307</f>
        <v>Água e Saneamento</v>
      </c>
      <c r="E307" s="116" t="str">
        <f>[2]Base!M307</f>
        <v>Itaú BBA</v>
      </c>
      <c r="F307" s="116" t="str">
        <f>[2]Base!F307</f>
        <v>FOLLOW-ON</v>
      </c>
      <c r="G307" s="116" t="str">
        <f>[2]Base!G307</f>
        <v>ICVM 476</v>
      </c>
      <c r="H307" s="117">
        <f>[2]Base!X307</f>
        <v>43081</v>
      </c>
      <c r="I307" s="118">
        <f>[2]Base!W307</f>
        <v>55.2</v>
      </c>
      <c r="J307" s="119">
        <f>[2]Base!J307</f>
        <v>43083</v>
      </c>
      <c r="K307" s="120">
        <f>[2]Base!BL307</f>
        <v>0</v>
      </c>
      <c r="L307" s="120">
        <f>[2]Base!DZ307</f>
        <v>56</v>
      </c>
      <c r="M307" s="121">
        <f>[2]Base!AO307</f>
        <v>0</v>
      </c>
      <c r="N307" s="121">
        <f>[2]Base!AP307</f>
        <v>1040308970.4</v>
      </c>
      <c r="O307" s="122">
        <f>[2]Base!AQ307</f>
        <v>1040308970.4</v>
      </c>
      <c r="P307" s="123">
        <f>[2]Base!EF307</f>
        <v>0</v>
      </c>
      <c r="Q307" s="123">
        <f>[2]Base!EH307</f>
        <v>0.4277353969454919</v>
      </c>
      <c r="R307" s="123">
        <f>[2]Base!EJ307</f>
        <v>0.57226460305450799</v>
      </c>
      <c r="S307" s="124">
        <f>[2]Base!EL307</f>
        <v>0</v>
      </c>
    </row>
    <row r="308" spans="2:19" ht="13.8" thickTop="1" x14ac:dyDescent="0.25">
      <c r="B308" s="40" t="str">
        <f>[2]Base!A308</f>
        <v>INTERMEDICA</v>
      </c>
      <c r="C308" s="74" t="str">
        <f>[2]Base!C308</f>
        <v>NM</v>
      </c>
      <c r="D308" s="74" t="str">
        <f>[2]Base!EQ308</f>
        <v>Serv.Méd.Hospit..Análises e Diagnósticos</v>
      </c>
      <c r="E308" s="74" t="str">
        <f>[2]Base!M308</f>
        <v>Itaú BBA</v>
      </c>
      <c r="F308" s="74" t="str">
        <f>[2]Base!F308</f>
        <v>IPO</v>
      </c>
      <c r="G308" s="74" t="str">
        <f>[2]Base!G308</f>
        <v>ICVM 400</v>
      </c>
      <c r="H308" s="75">
        <f>[2]Base!X308</f>
        <v>43209</v>
      </c>
      <c r="I308" s="76">
        <f>[2]Base!W308</f>
        <v>16.5</v>
      </c>
      <c r="J308" s="77">
        <f>[2]Base!J308</f>
        <v>43213</v>
      </c>
      <c r="K308" s="79">
        <f>[2]Base!BL308</f>
        <v>1375</v>
      </c>
      <c r="L308" s="79">
        <f>[2]Base!DZ308</f>
        <v>1838</v>
      </c>
      <c r="M308" s="80">
        <f>[2]Base!AO308</f>
        <v>341379307.5</v>
      </c>
      <c r="N308" s="80">
        <f>[2]Base!AP308</f>
        <v>2377736641.5</v>
      </c>
      <c r="O308" s="82">
        <f>[2]Base!AQ308</f>
        <v>2719115949</v>
      </c>
      <c r="P308" s="84">
        <f>[2]Base!EF308</f>
        <v>8.6834953502749654E-2</v>
      </c>
      <c r="Q308" s="84">
        <f>[2]Base!EH308</f>
        <v>0.21468036153981604</v>
      </c>
      <c r="R308" s="84">
        <f>[2]Base!EJ308</f>
        <v>0.69621169600958421</v>
      </c>
      <c r="S308" s="85">
        <f>[2]Base!EL308</f>
        <v>2.2729889478501236E-3</v>
      </c>
    </row>
    <row r="309" spans="2:19" ht="13.2" x14ac:dyDescent="0.25">
      <c r="B309" s="18" t="str">
        <f>[2]Base!A309</f>
        <v>HAPVIDA</v>
      </c>
      <c r="C309" s="52" t="str">
        <f>[2]Base!C309</f>
        <v>NM</v>
      </c>
      <c r="D309" s="52" t="str">
        <f>[2]Base!EQ309</f>
        <v>Serv.Méd.Hospit..Análises e Diagnósticos</v>
      </c>
      <c r="E309" s="52" t="str">
        <f>[2]Base!M309</f>
        <v>BTG Pactual</v>
      </c>
      <c r="F309" s="52" t="str">
        <f>[2]Base!F309</f>
        <v>IPO</v>
      </c>
      <c r="G309" s="52" t="str">
        <f>[2]Base!G309</f>
        <v>ICVM 400</v>
      </c>
      <c r="H309" s="53">
        <f>[2]Base!X309</f>
        <v>43213</v>
      </c>
      <c r="I309" s="54">
        <f>[2]Base!W309</f>
        <v>23.5</v>
      </c>
      <c r="J309" s="55">
        <f>[2]Base!J309</f>
        <v>43215</v>
      </c>
      <c r="K309" s="114">
        <f>[2]Base!BL309</f>
        <v>4374</v>
      </c>
      <c r="L309" s="114">
        <f>[2]Base!DZ309</f>
        <v>5099</v>
      </c>
      <c r="M309" s="57">
        <f>[2]Base!AO309</f>
        <v>2631026465.5</v>
      </c>
      <c r="N309" s="57">
        <f>[2]Base!AP309</f>
        <v>800747178</v>
      </c>
      <c r="O309" s="58">
        <f>[2]Base!AQ309</f>
        <v>3431773643.5</v>
      </c>
      <c r="P309" s="59">
        <f>[2]Base!EF309</f>
        <v>9.7468953593005239E-2</v>
      </c>
      <c r="Q309" s="59">
        <f>[2]Base!EH309</f>
        <v>0.43505761964454576</v>
      </c>
      <c r="R309" s="59">
        <f>[2]Base!EJ309</f>
        <v>0.46448551145532452</v>
      </c>
      <c r="S309" s="60">
        <f>[2]Base!EL309</f>
        <v>2.9879153071244806E-3</v>
      </c>
    </row>
    <row r="310" spans="2:19" ht="13.2" x14ac:dyDescent="0.25">
      <c r="B310" s="51" t="str">
        <f>[2]Base!A310</f>
        <v>INTER BANCO</v>
      </c>
      <c r="C310" s="52" t="str">
        <f>[2]Base!C310</f>
        <v>N1</v>
      </c>
      <c r="D310" s="52" t="str">
        <f>[2]Base!EQ310</f>
        <v>Bancos</v>
      </c>
      <c r="E310" s="52" t="str">
        <f>[2]Base!M310</f>
        <v>Bradesco BBI</v>
      </c>
      <c r="F310" s="52" t="str">
        <f>[2]Base!F310</f>
        <v>IPO</v>
      </c>
      <c r="G310" s="52" t="str">
        <f>[2]Base!G310</f>
        <v>ICVM 400</v>
      </c>
      <c r="H310" s="53">
        <f>[2]Base!X310</f>
        <v>43216</v>
      </c>
      <c r="I310" s="54">
        <f>[2]Base!W310</f>
        <v>18.5</v>
      </c>
      <c r="J310" s="55">
        <f>[2]Base!J310</f>
        <v>43220</v>
      </c>
      <c r="K310" s="114">
        <f>[2]Base!BL310</f>
        <v>8387</v>
      </c>
      <c r="L310" s="114">
        <f>[2]Base!DZ310</f>
        <v>8605</v>
      </c>
      <c r="M310" s="57">
        <f>[2]Base!AO310</f>
        <v>541463439</v>
      </c>
      <c r="N310" s="57">
        <f>[2]Base!AP310</f>
        <v>130991063</v>
      </c>
      <c r="O310" s="58">
        <f>[2]Base!AQ310</f>
        <v>672454502</v>
      </c>
      <c r="P310" s="59">
        <f>[2]Base!EF310</f>
        <v>0.11714129972864151</v>
      </c>
      <c r="Q310" s="59">
        <f>[2]Base!EH310</f>
        <v>0.27988361740523721</v>
      </c>
      <c r="R310" s="59">
        <f>[2]Base!EJ310</f>
        <v>0.60297508286612123</v>
      </c>
      <c r="S310" s="60">
        <f>[2]Base!EL310</f>
        <v>0</v>
      </c>
    </row>
    <row r="311" spans="2:19" ht="13.2" x14ac:dyDescent="0.25">
      <c r="B311" s="51" t="str">
        <f>[2]Base!A311</f>
        <v>INTERMEDICA</v>
      </c>
      <c r="C311" s="52" t="str">
        <f>[2]Base!C311</f>
        <v>NM</v>
      </c>
      <c r="D311" s="52" t="str">
        <f>[2]Base!EQ311</f>
        <v>Serv.Méd.Hospit..Análises e Diagnósticos</v>
      </c>
      <c r="E311" s="52" t="str">
        <f>[2]Base!M311</f>
        <v>Itaú BBA</v>
      </c>
      <c r="F311" s="52" t="str">
        <f>[2]Base!F311</f>
        <v>FOLLOW-ON</v>
      </c>
      <c r="G311" s="52" t="str">
        <f>[2]Base!G311</f>
        <v>ICVM 476</v>
      </c>
      <c r="H311" s="53">
        <f>[2]Base!X311</f>
        <v>43439</v>
      </c>
      <c r="I311" s="54">
        <f>[2]Base!W311</f>
        <v>26</v>
      </c>
      <c r="J311" s="55">
        <f>[2]Base!J311</f>
        <v>43441</v>
      </c>
      <c r="K311" s="114">
        <f>[2]Base!BL311</f>
        <v>15</v>
      </c>
      <c r="L311" s="114">
        <f>[2]Base!DZ311</f>
        <v>337</v>
      </c>
      <c r="M311" s="57">
        <f>[2]Base!AO311</f>
        <v>312000000</v>
      </c>
      <c r="N311" s="57">
        <f>[2]Base!AP311</f>
        <v>2741700000</v>
      </c>
      <c r="O311" s="58">
        <f>[2]Base!AQ311</f>
        <v>3053700000</v>
      </c>
      <c r="P311" s="59">
        <f>[2]Base!EF311</f>
        <v>7.3839080459770119E-4</v>
      </c>
      <c r="Q311" s="59">
        <f>[2]Base!EH311</f>
        <v>0.27355475521498512</v>
      </c>
      <c r="R311" s="59">
        <f>[2]Base!EJ311</f>
        <v>0.72570685398041723</v>
      </c>
      <c r="S311" s="60">
        <f>[2]Base!EL311</f>
        <v>0</v>
      </c>
    </row>
    <row r="312" spans="2:19" ht="13.8" thickBot="1" x14ac:dyDescent="0.3">
      <c r="B312" s="30" t="str">
        <f>[2]Base!A312</f>
        <v>LOCAMERICA</v>
      </c>
      <c r="C312" s="31" t="str">
        <f>[2]Base!C312</f>
        <v>NM</v>
      </c>
      <c r="D312" s="31" t="str">
        <f>[2]Base!EQ312</f>
        <v>Aluguel de Carros</v>
      </c>
      <c r="E312" s="31" t="str">
        <f>[2]Base!M312</f>
        <v>Itaú BBA</v>
      </c>
      <c r="F312" s="31" t="str">
        <f>[2]Base!F312</f>
        <v>FOLLOW-ON</v>
      </c>
      <c r="G312" s="31" t="str">
        <f>[2]Base!G312</f>
        <v>ICVM 476</v>
      </c>
      <c r="H312" s="32">
        <f>[2]Base!X312</f>
        <v>43447</v>
      </c>
      <c r="I312" s="33">
        <f>[2]Base!W312</f>
        <v>32</v>
      </c>
      <c r="J312" s="34">
        <f>[2]Base!J312</f>
        <v>43451</v>
      </c>
      <c r="K312" s="86">
        <f>[2]Base!BL312</f>
        <v>40</v>
      </c>
      <c r="L312" s="86">
        <f>[2]Base!DZ312</f>
        <v>337</v>
      </c>
      <c r="M312" s="36">
        <f>[2]Base!AO312</f>
        <v>992000000</v>
      </c>
      <c r="N312" s="36">
        <f>[2]Base!AP312</f>
        <v>384000000</v>
      </c>
      <c r="O312" s="37">
        <f>[2]Base!AQ312</f>
        <v>1376000000</v>
      </c>
      <c r="P312" s="38">
        <f>[2]Base!EF312</f>
        <v>1.4323720930232559E-3</v>
      </c>
      <c r="Q312" s="38">
        <f>[2]Base!EH312</f>
        <v>0.59577132558139534</v>
      </c>
      <c r="R312" s="38">
        <f>[2]Base!EJ312</f>
        <v>0.40048467441860464</v>
      </c>
      <c r="S312" s="39">
        <f>[2]Base!EL312</f>
        <v>2.3116279069767443E-3</v>
      </c>
    </row>
    <row r="313" spans="2:19" ht="13.8" thickTop="1" x14ac:dyDescent="0.25">
      <c r="B313" s="40" t="str">
        <f>[2]Base!A313</f>
        <v>LOCALIZA</v>
      </c>
      <c r="C313" s="74" t="str">
        <f>[2]Base!C313</f>
        <v>NM</v>
      </c>
      <c r="D313" s="74" t="str">
        <f>[2]Base!EQ313</f>
        <v>Aluguel de carros</v>
      </c>
      <c r="E313" s="74" t="str">
        <f>[2]Base!M313</f>
        <v>BTG Pactual</v>
      </c>
      <c r="F313" s="74" t="str">
        <f>[2]Base!F313</f>
        <v>FOLLOW-ON</v>
      </c>
      <c r="G313" s="74" t="str">
        <f>[2]Base!G313</f>
        <v>ICVM 476</v>
      </c>
      <c r="H313" s="75">
        <f>[2]Base!X313</f>
        <v>43496</v>
      </c>
      <c r="I313" s="76">
        <f>[2]Base!W313</f>
        <v>33</v>
      </c>
      <c r="J313" s="77">
        <f>[2]Base!J313</f>
        <v>43500</v>
      </c>
      <c r="K313" s="79">
        <f>[2]Base!BL313</f>
        <v>116</v>
      </c>
      <c r="L313" s="79">
        <f>[2]Base!DZ313</f>
        <v>906</v>
      </c>
      <c r="M313" s="80">
        <f>[2]Base!AO313</f>
        <v>1821600000</v>
      </c>
      <c r="N313" s="80">
        <f>[2]Base!AP313</f>
        <v>0</v>
      </c>
      <c r="O313" s="82">
        <f>[2]Base!AQ313</f>
        <v>1821600000</v>
      </c>
      <c r="P313" s="84">
        <f>[2]Base!EF313</f>
        <v>1.4706340579710145E-3</v>
      </c>
      <c r="Q313" s="84">
        <f>[2]Base!EH313</f>
        <v>0.53825666666666672</v>
      </c>
      <c r="R313" s="84">
        <f>[2]Base!EJ313</f>
        <v>0.45991653985507247</v>
      </c>
      <c r="S313" s="85">
        <f>[2]Base!EL313</f>
        <v>3.5615942028985505E-4</v>
      </c>
    </row>
    <row r="314" spans="2:19" ht="13.2" x14ac:dyDescent="0.25">
      <c r="B314" s="51" t="str">
        <f>[2]Base!A314</f>
        <v>IRBBRASIL RE</v>
      </c>
      <c r="C314" s="52" t="str">
        <f>[2]Base!C314</f>
        <v>NM</v>
      </c>
      <c r="D314" s="52" t="str">
        <f>[2]Base!EQ314</f>
        <v>Seguradoras</v>
      </c>
      <c r="E314" s="52" t="str">
        <f>[2]Base!M314</f>
        <v>Caixa</v>
      </c>
      <c r="F314" s="52" t="str">
        <f>[2]Base!F314</f>
        <v>FOLLOW-ON</v>
      </c>
      <c r="G314" s="52" t="str">
        <f>[2]Base!G314</f>
        <v>ICVM 476</v>
      </c>
      <c r="H314" s="53">
        <f>[2]Base!X314</f>
        <v>43522</v>
      </c>
      <c r="I314" s="54">
        <f>[2]Base!W314</f>
        <v>91</v>
      </c>
      <c r="J314" s="55">
        <f>[2]Base!J314</f>
        <v>43524</v>
      </c>
      <c r="K314" s="114">
        <f>[2]Base!BL314</f>
        <v>0</v>
      </c>
      <c r="L314" s="114">
        <f>[2]Base!DZ314</f>
        <v>64</v>
      </c>
      <c r="M314" s="57">
        <f>[2]Base!AO314</f>
        <v>0</v>
      </c>
      <c r="N314" s="57">
        <f>[2]Base!AP314</f>
        <v>2516733128</v>
      </c>
      <c r="O314" s="58">
        <f>[2]Base!AQ314</f>
        <v>2516733128</v>
      </c>
      <c r="P314" s="59">
        <f>[2]Base!EF314</f>
        <v>2.0610051746416236E-4</v>
      </c>
      <c r="Q314" s="59">
        <f>[2]Base!EH314</f>
        <v>0.3046964016440602</v>
      </c>
      <c r="R314" s="59">
        <f>[2]Base!EJ314</f>
        <v>0.69509749783847563</v>
      </c>
      <c r="S314" s="60">
        <f>[2]Base!EL314</f>
        <v>0</v>
      </c>
    </row>
    <row r="315" spans="2:19" ht="13.2" x14ac:dyDescent="0.25">
      <c r="B315" s="51" t="str">
        <f>[2]Base!A315</f>
        <v>BK BRASIL</v>
      </c>
      <c r="C315" s="52" t="str">
        <f>[2]Base!C315</f>
        <v>NM</v>
      </c>
      <c r="D315" s="52" t="str">
        <f>[2]Base!EQ315</f>
        <v>Restaurante e Similares</v>
      </c>
      <c r="E315" s="52" t="str">
        <f>[2]Base!M315</f>
        <v>Itaú BBA</v>
      </c>
      <c r="F315" s="52" t="str">
        <f>[2]Base!F315</f>
        <v>FOLLOW-ON</v>
      </c>
      <c r="G315" s="52" t="str">
        <f>[2]Base!G315</f>
        <v>ICVM 476</v>
      </c>
      <c r="H315" s="53">
        <f>[2]Base!X315</f>
        <v>43546</v>
      </c>
      <c r="I315" s="54">
        <f>[2]Base!W315</f>
        <v>21.41</v>
      </c>
      <c r="J315" s="55">
        <f>[2]Base!J315</f>
        <v>43549</v>
      </c>
      <c r="K315" s="114">
        <f>[2]Base!BL315</f>
        <v>0</v>
      </c>
      <c r="L315" s="114">
        <f>[2]Base!DZ315</f>
        <v>118</v>
      </c>
      <c r="M315" s="57">
        <f>[2]Base!AO315</f>
        <v>0</v>
      </c>
      <c r="N315" s="57">
        <f>[2]Base!AP315</f>
        <v>714529225.61000001</v>
      </c>
      <c r="O315" s="58">
        <f>[2]Base!AQ315</f>
        <v>714529225.61000001</v>
      </c>
      <c r="P315" s="59">
        <f>[2]Base!EF315</f>
        <v>0</v>
      </c>
      <c r="Q315" s="59">
        <f>[2]Base!EH315</f>
        <v>0.15702803121063788</v>
      </c>
      <c r="R315" s="59">
        <f>[2]Base!EJ315</f>
        <v>0.82899386314718448</v>
      </c>
      <c r="S315" s="60">
        <f>[2]Base!EL315</f>
        <v>1.3978105642177694E-2</v>
      </c>
    </row>
    <row r="316" spans="2:19" ht="13.2" x14ac:dyDescent="0.25">
      <c r="B316" s="51" t="str">
        <f>[2]Base!A316</f>
        <v>ENEVA</v>
      </c>
      <c r="C316" s="52" t="str">
        <f>[2]Base!C316</f>
        <v>NM</v>
      </c>
      <c r="D316" s="52" t="str">
        <f>[2]Base!EQ316</f>
        <v>Energia Elétrica</v>
      </c>
      <c r="E316" s="52" t="str">
        <f>[2]Base!M316</f>
        <v>Itaú BBA</v>
      </c>
      <c r="F316" s="52" t="str">
        <f>[2]Base!F316</f>
        <v>FOLLOW-ON</v>
      </c>
      <c r="G316" s="52" t="str">
        <f>[2]Base!G316</f>
        <v>ICVM 476</v>
      </c>
      <c r="H316" s="53">
        <f>[2]Base!X316</f>
        <v>43559</v>
      </c>
      <c r="I316" s="54">
        <f>[2]Base!W316</f>
        <v>18.25</v>
      </c>
      <c r="J316" s="55">
        <f>[2]Base!J316</f>
        <v>43563</v>
      </c>
      <c r="K316" s="114">
        <f>[2]Base!BL316</f>
        <v>0</v>
      </c>
      <c r="L316" s="114">
        <f>[2]Base!DZ316</f>
        <v>258</v>
      </c>
      <c r="M316" s="57">
        <f>[2]Base!AO316</f>
        <v>0</v>
      </c>
      <c r="N316" s="57">
        <f>[2]Base!AP316</f>
        <v>1106794409.25</v>
      </c>
      <c r="O316" s="58">
        <f>[2]Base!AQ316</f>
        <v>1106794409.25</v>
      </c>
      <c r="P316" s="59">
        <f>[2]Base!EF316</f>
        <v>0</v>
      </c>
      <c r="Q316" s="59">
        <f>[2]Base!EH316</f>
        <v>0.6699587075999679</v>
      </c>
      <c r="R316" s="59">
        <f>[2]Base!EJ316</f>
        <v>0.32134911712375908</v>
      </c>
      <c r="S316" s="60">
        <f>[2]Base!EL316</f>
        <v>8.6921752762729732E-3</v>
      </c>
    </row>
    <row r="317" spans="2:19" ht="13.2" x14ac:dyDescent="0.25">
      <c r="B317" s="51" t="str">
        <f>[2]Base!A317</f>
        <v>CENTAURO</v>
      </c>
      <c r="C317" s="52" t="str">
        <f>[2]Base!C317</f>
        <v>NM</v>
      </c>
      <c r="D317" s="52" t="str">
        <f>[2]Base!EQ317</f>
        <v>Produtos Diversos</v>
      </c>
      <c r="E317" s="52" t="str">
        <f>[2]Base!M317</f>
        <v>Bradesco BBI</v>
      </c>
      <c r="F317" s="52" t="str">
        <f>[2]Base!F317</f>
        <v>IPO</v>
      </c>
      <c r="G317" s="52" t="str">
        <f>[2]Base!G317</f>
        <v>ICVM 400</v>
      </c>
      <c r="H317" s="53">
        <f>[2]Base!X317</f>
        <v>43570</v>
      </c>
      <c r="I317" s="54">
        <f>[2]Base!W317</f>
        <v>12.5</v>
      </c>
      <c r="J317" s="55">
        <f>[2]Base!J317</f>
        <v>43572</v>
      </c>
      <c r="K317" s="114">
        <f>[2]Base!BL317</f>
        <v>3368</v>
      </c>
      <c r="L317" s="114">
        <f>[2]Base!DZ317</f>
        <v>3582</v>
      </c>
      <c r="M317" s="57">
        <f>[2]Base!AO317</f>
        <v>705101362.5</v>
      </c>
      <c r="N317" s="57">
        <f>[2]Base!AP317</f>
        <v>0</v>
      </c>
      <c r="O317" s="58">
        <f>[2]Base!AQ317</f>
        <v>705101362.5</v>
      </c>
      <c r="P317" s="59">
        <f>[2]Base!EF317</f>
        <v>9.6976311194838974E-2</v>
      </c>
      <c r="Q317" s="59">
        <f>[2]Base!EH317</f>
        <v>0.50313528398821172</v>
      </c>
      <c r="R317" s="59">
        <f>[2]Base!EJ317</f>
        <v>0.39571931949924294</v>
      </c>
      <c r="S317" s="60">
        <f>[2]Base!EL317</f>
        <v>4.169085317706339E-3</v>
      </c>
    </row>
    <row r="318" spans="2:19" ht="13.2" x14ac:dyDescent="0.25">
      <c r="B318" s="51" t="str">
        <f>[2]Base!A318</f>
        <v>TOTVS</v>
      </c>
      <c r="C318" s="52" t="str">
        <f>[2]Base!C318</f>
        <v>NM</v>
      </c>
      <c r="D318" s="52" t="str">
        <f>[2]Base!EQ318</f>
        <v>Programas e Serviços</v>
      </c>
      <c r="E318" s="52" t="str">
        <f>[2]Base!M318</f>
        <v>BTG Pactual</v>
      </c>
      <c r="F318" s="52" t="str">
        <f>[2]Base!F318</f>
        <v>FOLLOW-ON</v>
      </c>
      <c r="G318" s="52" t="str">
        <f>[2]Base!G318</f>
        <v>ICVM 476</v>
      </c>
      <c r="H318" s="53">
        <f>[2]Base!X318</f>
        <v>43607</v>
      </c>
      <c r="I318" s="54">
        <f>[2]Base!W318</f>
        <v>39.5</v>
      </c>
      <c r="J318" s="55">
        <f>[2]Base!J318</f>
        <v>43609</v>
      </c>
      <c r="K318" s="114">
        <f>[2]Base!BL318</f>
        <v>0</v>
      </c>
      <c r="L318" s="114">
        <f>[2]Base!DZ318</f>
        <v>172</v>
      </c>
      <c r="M318" s="57">
        <f>[2]Base!AO318</f>
        <v>1066500000</v>
      </c>
      <c r="N318" s="57">
        <f>[2]Base!AP318</f>
        <v>0</v>
      </c>
      <c r="O318" s="58">
        <f>[2]Base!AQ318</f>
        <v>1066500000</v>
      </c>
      <c r="P318" s="59">
        <f>[2]Base!EF318</f>
        <v>0</v>
      </c>
      <c r="Q318" s="59">
        <f>[2]Base!EH318</f>
        <v>0.54841174074074073</v>
      </c>
      <c r="R318" s="59">
        <f>[2]Base!EJ318</f>
        <v>0.25543455555555555</v>
      </c>
      <c r="S318" s="60">
        <f>[2]Base!EL318</f>
        <v>0.19615370370370369</v>
      </c>
    </row>
    <row r="319" spans="2:19" ht="13.2" x14ac:dyDescent="0.25">
      <c r="B319" s="51" t="str">
        <f>[2]Base!A319</f>
        <v>BTGP BANCO</v>
      </c>
      <c r="C319" s="52" t="str">
        <f>[2]Base!C319</f>
        <v>N2</v>
      </c>
      <c r="D319" s="52" t="str">
        <f>[2]Base!EQ319</f>
        <v>Bancos</v>
      </c>
      <c r="E319" s="52" t="str">
        <f>[2]Base!M319</f>
        <v>BTG Pactual</v>
      </c>
      <c r="F319" s="52" t="str">
        <f>[2]Base!F319</f>
        <v>FOLLOW-ON</v>
      </c>
      <c r="G319" s="52" t="str">
        <f>[2]Base!G319</f>
        <v>ICVM 476</v>
      </c>
      <c r="H319" s="53">
        <f>[2]Base!X319</f>
        <v>43627</v>
      </c>
      <c r="I319" s="54">
        <f>[2]Base!W319</f>
        <v>46</v>
      </c>
      <c r="J319" s="55">
        <f>[2]Base!J319</f>
        <v>43629</v>
      </c>
      <c r="K319" s="114">
        <f>[2]Base!BL319</f>
        <v>0</v>
      </c>
      <c r="L319" s="114">
        <f>[2]Base!DZ319</f>
        <v>138</v>
      </c>
      <c r="M319" s="57">
        <f>[2]Base!AO319</f>
        <v>0</v>
      </c>
      <c r="N319" s="57">
        <f>[2]Base!AP319</f>
        <v>2539200000</v>
      </c>
      <c r="O319" s="58">
        <f>[2]Base!AQ319</f>
        <v>2539200000</v>
      </c>
      <c r="P319" s="59">
        <f>[2]Base!EF319</f>
        <v>0</v>
      </c>
      <c r="Q319" s="59">
        <f>[2]Base!EH319</f>
        <v>0.67451798913043481</v>
      </c>
      <c r="R319" s="59">
        <f>[2]Base!EJ319</f>
        <v>0.32373188405797104</v>
      </c>
      <c r="S319" s="60">
        <f>[2]Base!EL319</f>
        <v>1.7501268115942029E-3</v>
      </c>
    </row>
    <row r="320" spans="2:19" ht="13.2" x14ac:dyDescent="0.25">
      <c r="B320" s="51" t="str">
        <f>[2]Base!A320</f>
        <v>CPFL ENERGIA</v>
      </c>
      <c r="C320" s="52" t="str">
        <f>[2]Base!C320</f>
        <v>NM</v>
      </c>
      <c r="D320" s="52" t="str">
        <f>[2]Base!EQ320</f>
        <v>Energia Elétrica</v>
      </c>
      <c r="E320" s="52" t="str">
        <f>[2]Base!M320</f>
        <v>Itaú BBA</v>
      </c>
      <c r="F320" s="52" t="str">
        <f>[2]Base!F320</f>
        <v>FOLLOW-ON</v>
      </c>
      <c r="G320" s="52" t="str">
        <f>[2]Base!G320</f>
        <v>ICVM 476</v>
      </c>
      <c r="H320" s="53">
        <f>[2]Base!X320</f>
        <v>43628</v>
      </c>
      <c r="I320" s="54">
        <f>[2]Base!W320</f>
        <v>27.5</v>
      </c>
      <c r="J320" s="55">
        <f>[2]Base!J320</f>
        <v>43629</v>
      </c>
      <c r="K320" s="114">
        <f>[2]Base!BL320</f>
        <v>27</v>
      </c>
      <c r="L320" s="114">
        <f>[2]Base!DZ320</f>
        <v>572</v>
      </c>
      <c r="M320" s="57">
        <f>[2]Base!AO320</f>
        <v>3694341585</v>
      </c>
      <c r="N320" s="57">
        <f>[2]Base!AP320</f>
        <v>0</v>
      </c>
      <c r="O320" s="58">
        <f>[2]Base!AQ320</f>
        <v>3694341585</v>
      </c>
      <c r="P320" s="59">
        <f>[2]Base!EF320</f>
        <v>1.4261012087760153E-3</v>
      </c>
      <c r="Q320" s="59">
        <f>[2]Base!EH320</f>
        <v>0.5096314571030659</v>
      </c>
      <c r="R320" s="59">
        <f>[2]Base!EJ320</f>
        <v>0.4871484819669159</v>
      </c>
      <c r="S320" s="60">
        <f>[2]Base!EL320</f>
        <v>1.7939597212421818E-3</v>
      </c>
    </row>
    <row r="321" spans="2:19" ht="13.2" x14ac:dyDescent="0.25">
      <c r="B321" s="51" t="str">
        <f>[2]Base!A321</f>
        <v>INTERMEDICA</v>
      </c>
      <c r="C321" s="52" t="str">
        <f>[2]Base!C321</f>
        <v>NM</v>
      </c>
      <c r="D321" s="52" t="str">
        <f>[2]Base!EQ321</f>
        <v>Serv.Méd.Hospit..Análises e Diagnósticos</v>
      </c>
      <c r="E321" s="52" t="str">
        <f>[2]Base!M321</f>
        <v>Itaú BBA</v>
      </c>
      <c r="F321" s="52" t="str">
        <f>[2]Base!F321</f>
        <v>FOLLOW-ON</v>
      </c>
      <c r="G321" s="52" t="str">
        <f>[2]Base!G321</f>
        <v>ICVM 476</v>
      </c>
      <c r="H321" s="53">
        <f>[2]Base!X321</f>
        <v>43634</v>
      </c>
      <c r="I321" s="54">
        <f>[2]Base!W321</f>
        <v>39.5</v>
      </c>
      <c r="J321" s="55">
        <f>[2]Base!J321</f>
        <v>43637</v>
      </c>
      <c r="K321" s="114">
        <f>[2]Base!BL321</f>
        <v>0</v>
      </c>
      <c r="L321" s="114">
        <f>[2]Base!DZ321</f>
        <v>267</v>
      </c>
      <c r="M321" s="57">
        <f>[2]Base!AO321</f>
        <v>0</v>
      </c>
      <c r="N321" s="57">
        <f>[2]Base!AP321</f>
        <v>2666250000</v>
      </c>
      <c r="O321" s="58">
        <f>[2]Base!AQ321</f>
        <v>2666250000</v>
      </c>
      <c r="P321" s="59">
        <f>[2]Base!EF321</f>
        <v>0</v>
      </c>
      <c r="Q321" s="59">
        <f>[2]Base!EH321</f>
        <v>0.59822416296296299</v>
      </c>
      <c r="R321" s="59">
        <f>[2]Base!EJ321</f>
        <v>0.40177583703703706</v>
      </c>
      <c r="S321" s="60">
        <f>[2]Base!EL321</f>
        <v>0</v>
      </c>
    </row>
    <row r="322" spans="2:19" ht="13.2" x14ac:dyDescent="0.25">
      <c r="B322" s="51" t="str">
        <f>[2]Base!A322</f>
        <v>LINX¹</v>
      </c>
      <c r="C322" s="52" t="str">
        <f>[2]Base!C322</f>
        <v>NM</v>
      </c>
      <c r="D322" s="52" t="str">
        <f>[2]Base!EQ322</f>
        <v>Programas e Serviços</v>
      </c>
      <c r="E322" s="52" t="str">
        <f>[2]Base!M322</f>
        <v>Goldman Sachs</v>
      </c>
      <c r="F322" s="52" t="str">
        <f>[2]Base!F322</f>
        <v>FOLLOW-ON</v>
      </c>
      <c r="G322" s="52" t="str">
        <f>[2]Base!G322</f>
        <v>ICVM 400</v>
      </c>
      <c r="H322" s="53">
        <f>[2]Base!X322</f>
        <v>43641</v>
      </c>
      <c r="I322" s="54">
        <f>[2]Base!W322</f>
        <v>36</v>
      </c>
      <c r="J322" s="55">
        <f>[2]Base!J322</f>
        <v>43642</v>
      </c>
      <c r="K322" s="114">
        <f>[2]Base!BL322</f>
        <v>664</v>
      </c>
      <c r="L322" s="114">
        <f>[2]Base!DZ322</f>
        <v>761</v>
      </c>
      <c r="M322" s="57">
        <f>[2]Base!AO322</f>
        <v>831600000</v>
      </c>
      <c r="N322" s="57">
        <f>[2]Base!AP322</f>
        <v>348285636</v>
      </c>
      <c r="O322" s="58">
        <f>[2]Base!AQ322</f>
        <v>1179885636</v>
      </c>
      <c r="P322" s="59">
        <f>[2]Base!EF322</f>
        <v>6.691218931775024E-2</v>
      </c>
      <c r="Q322" s="59">
        <f>[2]Base!EH322</f>
        <v>7.148899176945521E-2</v>
      </c>
      <c r="R322" s="59">
        <f>[2]Base!EJ322</f>
        <v>0.85996942232790807</v>
      </c>
      <c r="S322" s="60">
        <f>[2]Base!EL322</f>
        <v>1.6293965848864648E-3</v>
      </c>
    </row>
    <row r="323" spans="2:19" ht="13.2" x14ac:dyDescent="0.25">
      <c r="B323" s="51" t="str">
        <f>[2]Base!A323</f>
        <v>PETROBRAS¹</v>
      </c>
      <c r="C323" s="52" t="str">
        <f>[2]Base!C323</f>
        <v>N2</v>
      </c>
      <c r="D323" s="52" t="str">
        <f>[2]Base!EQ323</f>
        <v>Exploração. Refino e Distribuição</v>
      </c>
      <c r="E323" s="52" t="str">
        <f>[2]Base!M323</f>
        <v>Caixa</v>
      </c>
      <c r="F323" s="52" t="str">
        <f>[2]Base!F323</f>
        <v>FOLLOW-ON</v>
      </c>
      <c r="G323" s="52" t="str">
        <f>[2]Base!G323</f>
        <v>ICVM 400</v>
      </c>
      <c r="H323" s="53">
        <f>[2]Base!X323</f>
        <v>43641</v>
      </c>
      <c r="I323" s="54">
        <f>[2]Base!W323</f>
        <v>30.25</v>
      </c>
      <c r="J323" s="55">
        <f>[2]Base!J323</f>
        <v>43643</v>
      </c>
      <c r="K323" s="114">
        <f>[2]Base!BL323</f>
        <v>13251</v>
      </c>
      <c r="L323" s="114">
        <f>[2]Base!DZ323</f>
        <v>13694</v>
      </c>
      <c r="M323" s="57">
        <f>[2]Base!AO323</f>
        <v>0</v>
      </c>
      <c r="N323" s="57">
        <f>[2]Base!AP323</f>
        <v>7300546222.75</v>
      </c>
      <c r="O323" s="58">
        <f>[2]Base!AQ323</f>
        <v>7300546222.75</v>
      </c>
      <c r="P323" s="59">
        <f>[2]Base!EF323</f>
        <v>0.20642952852674615</v>
      </c>
      <c r="Q323" s="59">
        <f>[2]Base!EH323</f>
        <v>0.32478022502086895</v>
      </c>
      <c r="R323" s="59">
        <f>[2]Base!EJ323</f>
        <v>0.45530170747935084</v>
      </c>
      <c r="S323" s="60">
        <f>[2]Base!EL323</f>
        <v>1.3488538973034064E-2</v>
      </c>
    </row>
    <row r="324" spans="2:19" ht="13.2" x14ac:dyDescent="0.25">
      <c r="B324" s="51" t="str">
        <f>[2]Base!A324</f>
        <v>NEOENERGIA</v>
      </c>
      <c r="C324" s="52" t="str">
        <f>[2]Base!C324</f>
        <v>NM</v>
      </c>
      <c r="D324" s="52" t="str">
        <f>[2]Base!EQ324</f>
        <v>Energia Elétrica</v>
      </c>
      <c r="E324" s="52" t="str">
        <f>[2]Base!M324</f>
        <v>BB Investimentos</v>
      </c>
      <c r="F324" s="52" t="str">
        <f>[2]Base!F324</f>
        <v>IPO</v>
      </c>
      <c r="G324" s="52" t="str">
        <f>[2]Base!G324</f>
        <v>ICVM 400</v>
      </c>
      <c r="H324" s="53">
        <f>[2]Base!X324</f>
        <v>43623</v>
      </c>
      <c r="I324" s="54">
        <f>[2]Base!W324</f>
        <v>15.65</v>
      </c>
      <c r="J324" s="55">
        <f>[2]Base!J324</f>
        <v>43644</v>
      </c>
      <c r="K324" s="114">
        <f>[2]Base!BL324</f>
        <v>21595</v>
      </c>
      <c r="L324" s="114">
        <f>[2]Base!DZ324</f>
        <v>22695</v>
      </c>
      <c r="M324" s="57">
        <f>[2]Base!AO324</f>
        <v>0</v>
      </c>
      <c r="N324" s="57">
        <f>[2]Base!AP324</f>
        <v>3744278776.0000005</v>
      </c>
      <c r="O324" s="58">
        <f>[2]Base!AQ324</f>
        <v>3744278776.0000005</v>
      </c>
      <c r="P324" s="59">
        <f>[2]Base!EF324</f>
        <v>0.16386312887082957</v>
      </c>
      <c r="Q324" s="59">
        <f>[2]Base!EH324</f>
        <v>0.43233909035463336</v>
      </c>
      <c r="R324" s="59">
        <f>[2]Base!EJ324</f>
        <v>0.39339634218517922</v>
      </c>
      <c r="S324" s="60">
        <f>[2]Base!EL324</f>
        <v>1.0401438589357857E-2</v>
      </c>
    </row>
    <row r="325" spans="2:19" ht="13.2" x14ac:dyDescent="0.25">
      <c r="B325" s="51" t="str">
        <f>[2]Base!A325</f>
        <v>LIGHT S/A</v>
      </c>
      <c r="C325" s="52" t="str">
        <f>[2]Base!C325</f>
        <v>NM</v>
      </c>
      <c r="D325" s="52" t="str">
        <f>[2]Base!EQ325</f>
        <v>Energia Elétrica</v>
      </c>
      <c r="E325" s="52" t="str">
        <f>[2]Base!M325</f>
        <v>Itaú BBA</v>
      </c>
      <c r="F325" s="52" t="str">
        <f>[2]Base!F325</f>
        <v>FOLLOW-ON</v>
      </c>
      <c r="G325" s="52" t="str">
        <f>[2]Base!G325</f>
        <v>ICVM 476</v>
      </c>
      <c r="H325" s="53">
        <f>[2]Base!X325</f>
        <v>43627</v>
      </c>
      <c r="I325" s="54">
        <f>[2]Base!W325</f>
        <v>18.75</v>
      </c>
      <c r="J325" s="55">
        <f>[2]Base!J325</f>
        <v>43648</v>
      </c>
      <c r="K325" s="114">
        <f>[2]Base!BL325</f>
        <v>144</v>
      </c>
      <c r="L325" s="114">
        <f>[2]Base!DZ325</f>
        <v>664</v>
      </c>
      <c r="M325" s="57">
        <f>[2]Base!AO325</f>
        <v>1875000000</v>
      </c>
      <c r="N325" s="57">
        <f>[2]Base!AP325</f>
        <v>624999993.75</v>
      </c>
      <c r="O325" s="58">
        <f>[2]Base!AQ325</f>
        <v>2499999993.75</v>
      </c>
      <c r="P325" s="59">
        <f>[2]Base!EF325</f>
        <v>6.8671725171679313E-3</v>
      </c>
      <c r="Q325" s="59">
        <f>[2]Base!EH325</f>
        <v>0.52464667631161666</v>
      </c>
      <c r="R325" s="59">
        <f>[2]Base!EJ325</f>
        <v>0.46655523116638808</v>
      </c>
      <c r="S325" s="60">
        <f>[2]Base!EL325</f>
        <v>1.9309200048273001E-3</v>
      </c>
    </row>
    <row r="326" spans="2:19" ht="13.2" x14ac:dyDescent="0.25">
      <c r="B326" s="51" t="str">
        <f>[2]Base!A326</f>
        <v>TECNISA</v>
      </c>
      <c r="C326" s="52" t="str">
        <f>[2]Base!C326</f>
        <v>NM</v>
      </c>
      <c r="D326" s="52" t="str">
        <f>[2]Base!EQ326</f>
        <v>Incorporações</v>
      </c>
      <c r="E326" s="52" t="str">
        <f>[2]Base!M326</f>
        <v>BTG Pactual</v>
      </c>
      <c r="F326" s="52" t="str">
        <f>[2]Base!F326</f>
        <v>FOLLOW-ON</v>
      </c>
      <c r="G326" s="52" t="str">
        <f>[2]Base!G326</f>
        <v>ICVM 476</v>
      </c>
      <c r="H326" s="53">
        <f>[2]Base!X326</f>
        <v>43663</v>
      </c>
      <c r="I326" s="54">
        <f>[2]Base!W326</f>
        <v>1.1000000000000001</v>
      </c>
      <c r="J326" s="55">
        <f>[2]Base!J326</f>
        <v>43665</v>
      </c>
      <c r="K326" s="114">
        <f>[2]Base!BL326</f>
        <v>2</v>
      </c>
      <c r="L326" s="114">
        <f>[2]Base!DZ326</f>
        <v>381</v>
      </c>
      <c r="M326" s="57">
        <f>[2]Base!AO326</f>
        <v>445500000.00000006</v>
      </c>
      <c r="N326" s="57">
        <f>[2]Base!AP326</f>
        <v>0</v>
      </c>
      <c r="O326" s="58">
        <f>[2]Base!AQ326</f>
        <v>445500000.00000006</v>
      </c>
      <c r="P326" s="59">
        <f>[2]Base!EF326</f>
        <v>1.930791851851852E-2</v>
      </c>
      <c r="Q326" s="59">
        <f>[2]Base!EH326</f>
        <v>0.66594965925925931</v>
      </c>
      <c r="R326" s="59">
        <f>[2]Base!EJ326</f>
        <v>0.16138789382716048</v>
      </c>
      <c r="S326" s="60">
        <f>[2]Base!EL326</f>
        <v>0.15335452839506172</v>
      </c>
    </row>
    <row r="327" spans="2:19" ht="13.2" x14ac:dyDescent="0.25">
      <c r="B327" s="51" t="str">
        <f>[2]Base!A327</f>
        <v>IRBBRASIL RE</v>
      </c>
      <c r="C327" s="52" t="str">
        <f>[2]Base!C327</f>
        <v>NM</v>
      </c>
      <c r="D327" s="52" t="str">
        <f>[2]Base!EQ327</f>
        <v>Seguradoras</v>
      </c>
      <c r="E327" s="52" t="str">
        <f>[2]Base!M327</f>
        <v>BB Investimentos</v>
      </c>
      <c r="F327" s="52" t="str">
        <f>[2]Base!F327</f>
        <v>FOLLOW-ON</v>
      </c>
      <c r="G327" s="52" t="str">
        <f>[2]Base!G327</f>
        <v>ICVM 476</v>
      </c>
      <c r="H327" s="53">
        <f>[2]Base!X327</f>
        <v>43664</v>
      </c>
      <c r="I327" s="54">
        <f>[2]Base!W327</f>
        <v>88</v>
      </c>
      <c r="J327" s="55">
        <f>[2]Base!J327</f>
        <v>43668</v>
      </c>
      <c r="K327" s="114">
        <f>[2]Base!BL327</f>
        <v>0</v>
      </c>
      <c r="L327" s="114">
        <f>[2]Base!DZ327</f>
        <v>520</v>
      </c>
      <c r="M327" s="57">
        <f>[2]Base!AO327</f>
        <v>0</v>
      </c>
      <c r="N327" s="57">
        <f>[2]Base!AP327</f>
        <v>7390103600</v>
      </c>
      <c r="O327" s="58">
        <f>[2]Base!AQ327</f>
        <v>7390103600</v>
      </c>
      <c r="P327" s="59">
        <f>[2]Base!EF327</f>
        <v>2.0243288605588696E-5</v>
      </c>
      <c r="Q327" s="59">
        <f>[2]Base!EH327</f>
        <v>0.27353823510674463</v>
      </c>
      <c r="R327" s="59">
        <f>[2]Base!EJ327</f>
        <v>0.72644152160464981</v>
      </c>
      <c r="S327" s="60">
        <f>[2]Base!EL327</f>
        <v>0</v>
      </c>
    </row>
    <row r="328" spans="2:19" ht="13.2" x14ac:dyDescent="0.25">
      <c r="B328" s="51" t="str">
        <f>[2]Base!A328</f>
        <v>HAPVIDA</v>
      </c>
      <c r="C328" s="52" t="str">
        <f>[2]Base!C328</f>
        <v>NM</v>
      </c>
      <c r="D328" s="52" t="str">
        <f>[2]Base!EQ328</f>
        <v>Serv. Méd. Hospit., Análises e Diagnósticos</v>
      </c>
      <c r="E328" s="52" t="str">
        <f>[2]Base!M328</f>
        <v>BTG Pactual</v>
      </c>
      <c r="F328" s="52" t="str">
        <f>[2]Base!F328</f>
        <v>FOLLOW-ON</v>
      </c>
      <c r="G328" s="52" t="str">
        <f>[2]Base!G328</f>
        <v>ICVM 476</v>
      </c>
      <c r="H328" s="53">
        <f>[2]Base!X328</f>
        <v>43670</v>
      </c>
      <c r="I328" s="54">
        <f>[2]Base!W328</f>
        <v>42.5</v>
      </c>
      <c r="J328" s="55">
        <f>[2]Base!J328</f>
        <v>43672</v>
      </c>
      <c r="K328" s="114">
        <f>[2]Base!BL328</f>
        <v>0</v>
      </c>
      <c r="L328" s="114">
        <f>[2]Base!DZ328</f>
        <v>474</v>
      </c>
      <c r="M328" s="57">
        <f>[2]Base!AO328</f>
        <v>2664495000</v>
      </c>
      <c r="N328" s="57">
        <f>[2]Base!AP328</f>
        <v>0</v>
      </c>
      <c r="O328" s="58">
        <f>[2]Base!AQ328</f>
        <v>2664495000</v>
      </c>
      <c r="P328" s="59">
        <f>[2]Base!EF328</f>
        <v>0</v>
      </c>
      <c r="Q328" s="59">
        <f>[2]Base!EH328</f>
        <v>0.36130345806616265</v>
      </c>
      <c r="R328" s="59">
        <f>[2]Base!EJ328</f>
        <v>0.52997097010878236</v>
      </c>
      <c r="S328" s="60">
        <f>[2]Base!EL328</f>
        <v>0.10872557182505503</v>
      </c>
    </row>
    <row r="329" spans="2:19" ht="13.2" x14ac:dyDescent="0.25">
      <c r="B329" s="51" t="str">
        <f>[2]Base!A329</f>
        <v>MOVIDA</v>
      </c>
      <c r="C329" s="52" t="str">
        <f>[2]Base!C329</f>
        <v>NM</v>
      </c>
      <c r="D329" s="52" t="str">
        <f>[2]Base!EQ329</f>
        <v>Aluguel de carros</v>
      </c>
      <c r="E329" s="52" t="str">
        <f>[2]Base!M329</f>
        <v>BTG Pactual</v>
      </c>
      <c r="F329" s="52" t="str">
        <f>[2]Base!F329</f>
        <v>FOLLOW-ON</v>
      </c>
      <c r="G329" s="52" t="str">
        <f>[2]Base!G329</f>
        <v>ICVM 476</v>
      </c>
      <c r="H329" s="53">
        <f>[2]Base!X329</f>
        <v>43671</v>
      </c>
      <c r="I329" s="54">
        <f>[2]Base!W329</f>
        <v>15</v>
      </c>
      <c r="J329" s="55">
        <f>[2]Base!J329</f>
        <v>43675</v>
      </c>
      <c r="K329" s="114">
        <f>[2]Base!BL329</f>
        <v>0</v>
      </c>
      <c r="L329" s="114">
        <f>[2]Base!DZ329</f>
        <v>942</v>
      </c>
      <c r="M329" s="57">
        <f>[2]Base!AO329</f>
        <v>532500000</v>
      </c>
      <c r="N329" s="57">
        <f>[2]Base!AP329</f>
        <v>300000000</v>
      </c>
      <c r="O329" s="58">
        <f>[2]Base!AQ329</f>
        <v>832500000</v>
      </c>
      <c r="P329" s="59">
        <f>[2]Base!EF329</f>
        <v>3.6036036036036037E-4</v>
      </c>
      <c r="Q329" s="59">
        <f>[2]Base!EH329</f>
        <v>0.49053855855855855</v>
      </c>
      <c r="R329" s="59">
        <f>[2]Base!EJ329</f>
        <v>0.44159261261261262</v>
      </c>
      <c r="S329" s="60">
        <f>[2]Base!EL329</f>
        <v>6.7508468468468474E-2</v>
      </c>
    </row>
    <row r="330" spans="2:19" ht="13.2" x14ac:dyDescent="0.25">
      <c r="B330" s="51" t="str">
        <f>[2]Base!A330</f>
        <v>BANCO INTER</v>
      </c>
      <c r="C330" s="52" t="str">
        <f>[2]Base!C330</f>
        <v>N2</v>
      </c>
      <c r="D330" s="52" t="str">
        <f>[2]Base!EQ330</f>
        <v>Bancos</v>
      </c>
      <c r="E330" s="52" t="str">
        <f>[2]Base!M330</f>
        <v>Bradesco BBI</v>
      </c>
      <c r="F330" s="52" t="str">
        <f>[2]Base!F330</f>
        <v>FOLLOW-ON</v>
      </c>
      <c r="G330" s="52" t="str">
        <f>[2]Base!G330</f>
        <v>ICVM 476</v>
      </c>
      <c r="H330" s="53">
        <f>[2]Base!X330</f>
        <v>43675</v>
      </c>
      <c r="I330" s="54">
        <f>[2]Base!W330</f>
        <v>13.33</v>
      </c>
      <c r="J330" s="55">
        <f>[2]Base!J330</f>
        <v>43677</v>
      </c>
      <c r="K330" s="114">
        <f>[2]Base!BL330</f>
        <v>0</v>
      </c>
      <c r="L330" s="114">
        <f>[2]Base!DZ330</f>
        <v>3632</v>
      </c>
      <c r="M330" s="57">
        <f>[2]Base!AO330</f>
        <v>1247688000</v>
      </c>
      <c r="N330" s="57">
        <f>[2]Base!AP330</f>
        <v>0</v>
      </c>
      <c r="O330" s="58">
        <f>[2]Base!AQ330</f>
        <v>1247688000</v>
      </c>
      <c r="P330" s="59">
        <f>[2]Base!EF330</f>
        <v>0</v>
      </c>
      <c r="Q330" s="59">
        <f>[2]Base!EH330</f>
        <v>0.65372928418803422</v>
      </c>
      <c r="R330" s="59">
        <f>[2]Base!EJ330</f>
        <v>2.7471153846153847E-2</v>
      </c>
      <c r="S330" s="60">
        <f>[2]Base!EL330</f>
        <v>0.318799561965812</v>
      </c>
    </row>
    <row r="331" spans="2:19" ht="13.2" x14ac:dyDescent="0.25">
      <c r="B331" s="51" t="str">
        <f>[2]Base!A331</f>
        <v>PETROBRAS BR</v>
      </c>
      <c r="C331" s="52" t="str">
        <f>[2]Base!C331</f>
        <v>NM</v>
      </c>
      <c r="D331" s="52" t="str">
        <f>[2]Base!EQ331</f>
        <v>Exploração. Refino e Distribuição</v>
      </c>
      <c r="E331" s="52" t="str">
        <f>[2]Base!M331</f>
        <v>JP Morgan</v>
      </c>
      <c r="F331" s="52" t="str">
        <f>[2]Base!F331</f>
        <v>FOLLOW-ON</v>
      </c>
      <c r="G331" s="52" t="str">
        <f>[2]Base!G331</f>
        <v>ICVM 400</v>
      </c>
      <c r="H331" s="53">
        <f>[2]Base!X331</f>
        <v>43669</v>
      </c>
      <c r="I331" s="54">
        <f>[2]Base!W331</f>
        <v>24.5</v>
      </c>
      <c r="J331" s="55">
        <f>[2]Base!J331</f>
        <v>43671</v>
      </c>
      <c r="K331" s="114">
        <f>[2]Base!BL331</f>
        <v>7348</v>
      </c>
      <c r="L331" s="114">
        <f>[2]Base!DZ331</f>
        <v>8282</v>
      </c>
      <c r="M331" s="57">
        <f>[2]Base!AO331</f>
        <v>0</v>
      </c>
      <c r="N331" s="57">
        <f>[2]Base!AP331</f>
        <v>9633093750</v>
      </c>
      <c r="O331" s="58">
        <f>[2]Base!AQ331</f>
        <v>9633093750</v>
      </c>
      <c r="P331" s="59">
        <f>[2]Base!EF331</f>
        <v>9.6246345573040848E-2</v>
      </c>
      <c r="Q331" s="59">
        <f>[2]Base!EH331</f>
        <v>0.4537832052137975</v>
      </c>
      <c r="R331" s="59">
        <f>[2]Base!EJ331</f>
        <v>0.44569897313622636</v>
      </c>
      <c r="S331" s="60">
        <f>[2]Base!EL331</f>
        <v>4.2714760769353042E-3</v>
      </c>
    </row>
    <row r="332" spans="2:19" ht="13.2" x14ac:dyDescent="0.25">
      <c r="B332" s="51" t="str">
        <f>[2]Base!A332</f>
        <v>TRISUL</v>
      </c>
      <c r="C332" s="52" t="str">
        <f>[2]Base!C332</f>
        <v>NM</v>
      </c>
      <c r="D332" s="52" t="str">
        <f>[2]Base!EQ332</f>
        <v>Incorporações</v>
      </c>
      <c r="E332" s="52" t="str">
        <f>[2]Base!M332</f>
        <v>BTG Pactual</v>
      </c>
      <c r="F332" s="52" t="str">
        <f>[2]Base!F332</f>
        <v>FOLLOW-ON</v>
      </c>
      <c r="G332" s="52" t="str">
        <f>[2]Base!G332</f>
        <v>ICVM 476</v>
      </c>
      <c r="H332" s="53">
        <f>[2]Base!X332</f>
        <v>43720</v>
      </c>
      <c r="I332" s="54">
        <f>[2]Base!W332</f>
        <v>10</v>
      </c>
      <c r="J332" s="55">
        <f>[2]Base!J332</f>
        <v>43724</v>
      </c>
      <c r="K332" s="114">
        <f>[2]Base!BL332</f>
        <v>0</v>
      </c>
      <c r="L332" s="114">
        <f>[2]Base!DZ332</f>
        <v>761</v>
      </c>
      <c r="M332" s="57">
        <f>[2]Base!AO332</f>
        <v>405000000</v>
      </c>
      <c r="N332" s="57">
        <f>[2]Base!AP332</f>
        <v>0</v>
      </c>
      <c r="O332" s="58">
        <f>[2]Base!AQ332</f>
        <v>405000000</v>
      </c>
      <c r="P332" s="59">
        <f>[2]Base!EF332</f>
        <v>0</v>
      </c>
      <c r="Q332" s="59">
        <f>[2]Base!EH332</f>
        <v>0.82014575308641979</v>
      </c>
      <c r="R332" s="59">
        <f>[2]Base!EJ332</f>
        <v>0.11024691358024691</v>
      </c>
      <c r="S332" s="60">
        <f>[2]Base!EL332</f>
        <v>6.9607333333333327E-2</v>
      </c>
    </row>
    <row r="333" spans="2:19" ht="13.2" x14ac:dyDescent="0.25">
      <c r="B333" s="51" t="str">
        <f>[2]Base!A333</f>
        <v>BANCO PAN</v>
      </c>
      <c r="C333" s="52" t="str">
        <f>[2]Base!C333</f>
        <v>N1</v>
      </c>
      <c r="D333" s="52" t="str">
        <f>[2]Base!EQ333</f>
        <v>Bancos</v>
      </c>
      <c r="E333" s="52" t="str">
        <f>[2]Base!M333</f>
        <v>BTG Pactual</v>
      </c>
      <c r="F333" s="52" t="str">
        <f>[2]Base!F333</f>
        <v>FOLLOW-ON</v>
      </c>
      <c r="G333" s="52" t="str">
        <f>[2]Base!G333</f>
        <v>ICVM 476</v>
      </c>
      <c r="H333" s="53">
        <f>[2]Base!X333</f>
        <v>43727</v>
      </c>
      <c r="I333" s="54">
        <f>[2]Base!W333</f>
        <v>8.25</v>
      </c>
      <c r="J333" s="55">
        <f>[2]Base!J333</f>
        <v>43731</v>
      </c>
      <c r="K333" s="114">
        <f>[2]Base!BL333</f>
        <v>0</v>
      </c>
      <c r="L333" s="114">
        <f>[2]Base!DZ333</f>
        <v>671</v>
      </c>
      <c r="M333" s="57">
        <f>[2]Base!AO333</f>
        <v>521812500</v>
      </c>
      <c r="N333" s="57">
        <f>[2]Base!AP333</f>
        <v>521812500</v>
      </c>
      <c r="O333" s="58">
        <f>[2]Base!AQ333</f>
        <v>1043625000</v>
      </c>
      <c r="P333" s="59">
        <f>[2]Base!EF333</f>
        <v>1.5352332015810277E-3</v>
      </c>
      <c r="Q333" s="59">
        <f>[2]Base!EH333</f>
        <v>0.64222959683794467</v>
      </c>
      <c r="R333" s="59">
        <f>[2]Base!EJ333</f>
        <v>0.32960474308300397</v>
      </c>
      <c r="S333" s="60">
        <f>[2]Base!EL333</f>
        <v>2.6630426877470356E-2</v>
      </c>
    </row>
    <row r="334" spans="2:19" ht="13.2" x14ac:dyDescent="0.25">
      <c r="B334" s="51" t="str">
        <f>[2]Base!A334</f>
        <v>SINQIA</v>
      </c>
      <c r="C334" s="52" t="str">
        <f>[2]Base!C334</f>
        <v>NM</v>
      </c>
      <c r="D334" s="52" t="str">
        <f>[2]Base!EQ334</f>
        <v>Programas e Serviços</v>
      </c>
      <c r="E334" s="52" t="str">
        <f>[2]Base!M334</f>
        <v>BTG Pactual</v>
      </c>
      <c r="F334" s="52" t="str">
        <f>[2]Base!F334</f>
        <v>FOLLOW-ON</v>
      </c>
      <c r="G334" s="52" t="str">
        <f>[2]Base!G334</f>
        <v>ICVM 476</v>
      </c>
      <c r="H334" s="53">
        <f>[2]Base!X334</f>
        <v>43725</v>
      </c>
      <c r="I334" s="54">
        <f>[2]Base!W334</f>
        <v>62</v>
      </c>
      <c r="J334" s="55">
        <f>[2]Base!J334</f>
        <v>43727</v>
      </c>
      <c r="K334" s="114">
        <f>[2]Base!BL334</f>
        <v>0</v>
      </c>
      <c r="L334" s="114">
        <f>[2]Base!DZ334</f>
        <v>1797</v>
      </c>
      <c r="M334" s="57">
        <f>[2]Base!AO334</f>
        <v>362700000</v>
      </c>
      <c r="N334" s="57">
        <f>[2]Base!AP334</f>
        <v>0</v>
      </c>
      <c r="O334" s="58">
        <f>[2]Base!AQ334</f>
        <v>362700000</v>
      </c>
      <c r="P334" s="59">
        <f>[2]Base!EF334</f>
        <v>1.0085470085470086E-3</v>
      </c>
      <c r="Q334" s="59">
        <f>[2]Base!EH334</f>
        <v>0.82035811965811967</v>
      </c>
      <c r="R334" s="59">
        <f>[2]Base!EJ334</f>
        <v>0.11709401709401709</v>
      </c>
      <c r="S334" s="60">
        <f>[2]Base!EL334</f>
        <v>6.1539316239316237E-2</v>
      </c>
    </row>
    <row r="335" spans="2:19" ht="13.2" x14ac:dyDescent="0.25">
      <c r="B335" s="51" t="str">
        <f>[2]Base!A335</f>
        <v>OMEGA GER</v>
      </c>
      <c r="C335" s="52" t="str">
        <f>[2]Base!C335</f>
        <v>NM</v>
      </c>
      <c r="D335" s="52" t="str">
        <f>[2]Base!EQ335</f>
        <v>Energia Elétrica</v>
      </c>
      <c r="E335" s="52" t="str">
        <f>[2]Base!M335</f>
        <v>BofA Merrill Lynch</v>
      </c>
      <c r="F335" s="52" t="str">
        <f>[2]Base!F335</f>
        <v>FOLLOW-ON</v>
      </c>
      <c r="G335" s="52" t="str">
        <f>[2]Base!G335</f>
        <v>ICVM 476</v>
      </c>
      <c r="H335" s="53">
        <f>[2]Base!X335</f>
        <v>43733</v>
      </c>
      <c r="I335" s="54">
        <f>[2]Base!W335</f>
        <v>30</v>
      </c>
      <c r="J335" s="55">
        <f>[2]Base!J335</f>
        <v>43735</v>
      </c>
      <c r="K335" s="114">
        <f>[2]Base!BL335</f>
        <v>148</v>
      </c>
      <c r="L335" s="114">
        <f>[2]Base!DZ335</f>
        <v>358</v>
      </c>
      <c r="M335" s="57">
        <f>[2]Base!AO335</f>
        <v>830769240</v>
      </c>
      <c r="N335" s="57">
        <f>[2]Base!AP335</f>
        <v>0</v>
      </c>
      <c r="O335" s="58">
        <f>[2]Base!AQ335</f>
        <v>830769240</v>
      </c>
      <c r="P335" s="59">
        <f>[2]Base!EF335</f>
        <v>1.1244638763948458E-3</v>
      </c>
      <c r="Q335" s="59">
        <f>[2]Base!EH335</f>
        <v>0.64772701502525543</v>
      </c>
      <c r="R335" s="59">
        <f>[2]Base!EJ335</f>
        <v>0.35114852109834976</v>
      </c>
      <c r="S335" s="60">
        <f>[2]Base!EL335</f>
        <v>0</v>
      </c>
    </row>
    <row r="336" spans="2:19" ht="13.2" x14ac:dyDescent="0.25">
      <c r="B336" s="51" t="str">
        <f>[2]Base!A336</f>
        <v>EZTEC</v>
      </c>
      <c r="C336" s="52" t="str">
        <f>[2]Base!C336</f>
        <v>NM</v>
      </c>
      <c r="D336" s="52" t="str">
        <f>[2]Base!EQ336</f>
        <v>Incorporações</v>
      </c>
      <c r="E336" s="52" t="str">
        <f>[2]Base!M336</f>
        <v>BTG Pactual</v>
      </c>
      <c r="F336" s="52" t="str">
        <f>[2]Base!F336</f>
        <v>FOLLOW-ON</v>
      </c>
      <c r="G336" s="52" t="str">
        <f>[2]Base!G336</f>
        <v>ICVM 476</v>
      </c>
      <c r="H336" s="53">
        <f>[2]Base!X336</f>
        <v>43732</v>
      </c>
      <c r="I336" s="54">
        <f>[2]Base!W336</f>
        <v>36.25</v>
      </c>
      <c r="J336" s="55">
        <f>[2]Base!J336</f>
        <v>43734</v>
      </c>
      <c r="K336" s="114">
        <f>[2]Base!BL336</f>
        <v>0</v>
      </c>
      <c r="L336" s="114">
        <f>[2]Base!DZ336</f>
        <v>889</v>
      </c>
      <c r="M336" s="57">
        <f>[2]Base!AO336</f>
        <v>978750000</v>
      </c>
      <c r="N336" s="57">
        <f>[2]Base!AP336</f>
        <v>0</v>
      </c>
      <c r="O336" s="58">
        <f>[2]Base!AQ336</f>
        <v>978750000</v>
      </c>
      <c r="P336" s="59">
        <f>[2]Base!EF336</f>
        <v>0</v>
      </c>
      <c r="Q336" s="59">
        <f>[2]Base!EH336</f>
        <v>0.66978566666666661</v>
      </c>
      <c r="R336" s="59">
        <f>[2]Base!EJ336</f>
        <v>0.20166666666666666</v>
      </c>
      <c r="S336" s="60">
        <f>[2]Base!EL336</f>
        <v>0.12854766666666667</v>
      </c>
    </row>
    <row r="337" spans="2:19" ht="13.2" x14ac:dyDescent="0.25">
      <c r="B337" s="51" t="str">
        <f>[2]Base!A337</f>
        <v>HELBOR</v>
      </c>
      <c r="C337" s="52" t="str">
        <f>[2]Base!C337</f>
        <v>NM</v>
      </c>
      <c r="D337" s="52" t="str">
        <f>[2]Base!EQ337</f>
        <v>Incorporações</v>
      </c>
      <c r="E337" s="52" t="str">
        <f>[2]Base!M337</f>
        <v>BTG Pactual</v>
      </c>
      <c r="F337" s="52" t="str">
        <f>[2]Base!F337</f>
        <v>FOLLOW-ON</v>
      </c>
      <c r="G337" s="52" t="str">
        <f>[2]Base!G337</f>
        <v>ICVM 476</v>
      </c>
      <c r="H337" s="53">
        <f>[2]Base!X337</f>
        <v>43718</v>
      </c>
      <c r="I337" s="54">
        <f>[2]Base!W337</f>
        <v>2.65</v>
      </c>
      <c r="J337" s="55">
        <f>[2]Base!J337</f>
        <v>43752</v>
      </c>
      <c r="K337" s="114">
        <f>[2]Base!BL337</f>
        <v>0</v>
      </c>
      <c r="L337" s="114">
        <f>[2]Base!DZ337</f>
        <v>581</v>
      </c>
      <c r="M337" s="57">
        <f>[2]Base!AO337</f>
        <v>560057625</v>
      </c>
      <c r="N337" s="57">
        <f>[2]Base!AP337</f>
        <v>0</v>
      </c>
      <c r="O337" s="58">
        <f>[2]Base!AQ337</f>
        <v>560057625</v>
      </c>
      <c r="P337" s="59">
        <f>[2]Base!EF337</f>
        <v>3.9135526455871391E-3</v>
      </c>
      <c r="Q337" s="59">
        <f>[2]Base!EH337</f>
        <v>0.47377299880525686</v>
      </c>
      <c r="R337" s="59">
        <f>[2]Base!EJ337</f>
        <v>0.15100507470101848</v>
      </c>
      <c r="S337" s="60">
        <f>[2]Base!EL337</f>
        <v>0.37130837384813753</v>
      </c>
    </row>
    <row r="338" spans="2:19" ht="13.2" x14ac:dyDescent="0.25">
      <c r="B338" s="51" t="str">
        <f>[2]Base!A338</f>
        <v>VIVARA S.A.</v>
      </c>
      <c r="C338" s="52" t="str">
        <f>[2]Base!C338</f>
        <v>NM</v>
      </c>
      <c r="D338" s="52" t="str">
        <f>[2]Base!EQ338</f>
        <v>Acessórios</v>
      </c>
      <c r="E338" s="52" t="str">
        <f>[2]Base!M338</f>
        <v>Itaú BBA</v>
      </c>
      <c r="F338" s="52" t="str">
        <f>[2]Base!F338</f>
        <v>IPO</v>
      </c>
      <c r="G338" s="52" t="str">
        <f>[2]Base!G338</f>
        <v>ICVM 400</v>
      </c>
      <c r="H338" s="53">
        <f>[2]Base!X338</f>
        <v>43746</v>
      </c>
      <c r="I338" s="54">
        <f>[2]Base!W338</f>
        <v>24</v>
      </c>
      <c r="J338" s="55">
        <f>[2]Base!J338</f>
        <v>43748</v>
      </c>
      <c r="K338" s="114">
        <f>[2]Base!BL338</f>
        <v>26986</v>
      </c>
      <c r="L338" s="114">
        <f>[2]Base!DZ338</f>
        <v>27872</v>
      </c>
      <c r="M338" s="57">
        <f>[2]Base!AO338</f>
        <v>453471888</v>
      </c>
      <c r="N338" s="57">
        <f>[2]Base!AP338</f>
        <v>1787377536</v>
      </c>
      <c r="O338" s="58">
        <f>[2]Base!AQ338</f>
        <v>2240849424</v>
      </c>
      <c r="P338" s="59">
        <f>[2]Base!EF338</f>
        <v>0.12756181833513555</v>
      </c>
      <c r="Q338" s="59">
        <f>[2]Base!EH338</f>
        <v>0.56323525110119022</v>
      </c>
      <c r="R338" s="59">
        <f>[2]Base!EJ338</f>
        <v>0.30499752305768485</v>
      </c>
      <c r="S338" s="60">
        <f>[2]Base!EL338</f>
        <v>4.2054075059893324E-3</v>
      </c>
    </row>
    <row r="339" spans="2:19" ht="13.2" x14ac:dyDescent="0.25">
      <c r="B339" s="51" t="str">
        <f>[2]Base!A339</f>
        <v>BRASIL</v>
      </c>
      <c r="C339" s="52" t="str">
        <f>[2]Base!C339</f>
        <v>NM</v>
      </c>
      <c r="D339" s="52" t="str">
        <f>[2]Base!EQ339</f>
        <v>Bancos</v>
      </c>
      <c r="E339" s="52" t="str">
        <f>[2]Base!M339</f>
        <v>Caixa</v>
      </c>
      <c r="F339" s="52" t="str">
        <f>[2]Base!F339</f>
        <v>FOLLOW-ON</v>
      </c>
      <c r="G339" s="52" t="str">
        <f>[2]Base!G339</f>
        <v>ICVM 400</v>
      </c>
      <c r="H339" s="53">
        <f>[2]Base!X339</f>
        <v>43755</v>
      </c>
      <c r="I339" s="54">
        <f>[2]Base!W339</f>
        <v>44.05</v>
      </c>
      <c r="J339" s="55">
        <f>[2]Base!J339</f>
        <v>43759</v>
      </c>
      <c r="K339" s="114">
        <f>[2]Base!BL339</f>
        <v>29222</v>
      </c>
      <c r="L339" s="114">
        <f>[2]Base!DZ339</f>
        <v>30039</v>
      </c>
      <c r="M339" s="57">
        <f>[2]Base!AO339</f>
        <v>0</v>
      </c>
      <c r="N339" s="57">
        <f>[2]Base!AP339</f>
        <v>5836921764.8499994</v>
      </c>
      <c r="O339" s="58">
        <f>[2]Base!AQ339</f>
        <v>5836921764.8499994</v>
      </c>
      <c r="P339" s="59">
        <f>[2]Base!EF339</f>
        <v>0.31500656453414894</v>
      </c>
      <c r="Q339" s="59">
        <f>[2]Base!EH339</f>
        <v>0.37245822452031252</v>
      </c>
      <c r="R339" s="59">
        <f>[2]Base!EJ339</f>
        <v>0.30210823167428835</v>
      </c>
      <c r="S339" s="60">
        <f>[2]Base!EL339</f>
        <v>9.0145227861131334E-3</v>
      </c>
    </row>
    <row r="340" spans="2:19" ht="13.2" x14ac:dyDescent="0.25">
      <c r="B340" s="51" t="str">
        <f>[2]Base!A340</f>
        <v>LOG COM PROP</v>
      </c>
      <c r="C340" s="52" t="str">
        <f>[2]Base!C340</f>
        <v>NM</v>
      </c>
      <c r="D340" s="52" t="str">
        <f>[2]Base!EQ340</f>
        <v>Exploração de Imóveis</v>
      </c>
      <c r="E340" s="52" t="str">
        <f>[2]Base!M340</f>
        <v>BTG Pactual</v>
      </c>
      <c r="F340" s="52" t="str">
        <f>[2]Base!F340</f>
        <v>FOLLOW-ON</v>
      </c>
      <c r="G340" s="52" t="str">
        <f>[2]Base!G340</f>
        <v>ICVM 476</v>
      </c>
      <c r="H340" s="53">
        <f>[2]Base!X340</f>
        <v>43760</v>
      </c>
      <c r="I340" s="54">
        <f>[2]Base!W340</f>
        <v>22.5</v>
      </c>
      <c r="J340" s="55">
        <f>[2]Base!J340</f>
        <v>43762</v>
      </c>
      <c r="K340" s="114">
        <f>[2]Base!BL340</f>
        <v>0</v>
      </c>
      <c r="L340" s="114">
        <f>[2]Base!DZ340</f>
        <v>988</v>
      </c>
      <c r="M340" s="57">
        <f>[2]Base!AO340</f>
        <v>637875000</v>
      </c>
      <c r="N340" s="57">
        <f>[2]Base!AP340</f>
        <v>0</v>
      </c>
      <c r="O340" s="58">
        <f>[2]Base!AQ340</f>
        <v>637875000</v>
      </c>
      <c r="P340" s="59">
        <f>[2]Base!EF340</f>
        <v>0</v>
      </c>
      <c r="Q340" s="59">
        <f>[2]Base!EH340</f>
        <v>0.38003679012345681</v>
      </c>
      <c r="R340" s="59">
        <f>[2]Base!EJ340</f>
        <v>0.18307904761904761</v>
      </c>
      <c r="S340" s="60">
        <f>[2]Base!EL340</f>
        <v>0.4368841622574956</v>
      </c>
    </row>
    <row r="341" spans="2:19" ht="13.2" x14ac:dyDescent="0.25">
      <c r="B341" s="51" t="str">
        <f>[2]Base!A341</f>
        <v>CYRE COM-CCP</v>
      </c>
      <c r="C341" s="52" t="str">
        <f>[2]Base!C341</f>
        <v>NM</v>
      </c>
      <c r="D341" s="52" t="str">
        <f>[2]Base!EQ341</f>
        <v>Exploração de Imóveis</v>
      </c>
      <c r="E341" s="52" t="str">
        <f>[2]Base!M341</f>
        <v>Bradesco BBI</v>
      </c>
      <c r="F341" s="52" t="str">
        <f>[2]Base!F341</f>
        <v>FOLLOW-ON</v>
      </c>
      <c r="G341" s="52" t="str">
        <f>[2]Base!G341</f>
        <v>ICVM 400</v>
      </c>
      <c r="H341" s="53">
        <f>[2]Base!X341</f>
        <v>43766</v>
      </c>
      <c r="I341" s="54">
        <f>[2]Base!W341</f>
        <v>19</v>
      </c>
      <c r="J341" s="55">
        <f>[2]Base!J341</f>
        <v>43768</v>
      </c>
      <c r="K341" s="114">
        <f>[2]Base!BL341</f>
        <v>1087</v>
      </c>
      <c r="L341" s="114">
        <f>[2]Base!DZ341</f>
        <v>1329</v>
      </c>
      <c r="M341" s="57">
        <f>[2]Base!AO341</f>
        <v>863550000</v>
      </c>
      <c r="N341" s="57">
        <f>[2]Base!AP341</f>
        <v>0</v>
      </c>
      <c r="O341" s="58">
        <f>[2]Base!AQ341</f>
        <v>863550000</v>
      </c>
      <c r="P341" s="59">
        <f>[2]Base!EF341</f>
        <v>9.2730434782608701E-2</v>
      </c>
      <c r="Q341" s="59">
        <f>[2]Base!EH341</f>
        <v>0.56746115217391302</v>
      </c>
      <c r="R341" s="59">
        <f>[2]Base!EJ341</f>
        <v>0.28455195652173915</v>
      </c>
      <c r="S341" s="60">
        <f>[2]Base!EL341</f>
        <v>5.5256456521739133E-2</v>
      </c>
    </row>
    <row r="342" spans="2:19" ht="13.2" x14ac:dyDescent="0.25">
      <c r="B342" s="51" t="str">
        <f>[2]Base!A342</f>
        <v>LOPES BRASIL</v>
      </c>
      <c r="C342" s="52" t="str">
        <f>[2]Base!C342</f>
        <v>NM</v>
      </c>
      <c r="D342" s="52" t="str">
        <f>[2]Base!EQ342</f>
        <v>Intermediação Imobiliária</v>
      </c>
      <c r="E342" s="52" t="str">
        <f>[2]Base!M342</f>
        <v>Itaú BBA</v>
      </c>
      <c r="F342" s="52" t="str">
        <f>[2]Base!F342</f>
        <v>FOLLOW-ON</v>
      </c>
      <c r="G342" s="52" t="str">
        <f>[2]Base!G342</f>
        <v>ICVM 476</v>
      </c>
      <c r="H342" s="53">
        <f>[2]Base!X342</f>
        <v>43767</v>
      </c>
      <c r="I342" s="54">
        <f>[2]Base!W342</f>
        <v>7</v>
      </c>
      <c r="J342" s="55">
        <f>[2]Base!J342</f>
        <v>43769</v>
      </c>
      <c r="K342" s="114">
        <f>[2]Base!BL342</f>
        <v>456</v>
      </c>
      <c r="L342" s="114">
        <f>[2]Base!DZ342</f>
        <v>548</v>
      </c>
      <c r="M342" s="57">
        <f>[2]Base!AO342</f>
        <v>147000000</v>
      </c>
      <c r="N342" s="57">
        <f>[2]Base!AP342</f>
        <v>0</v>
      </c>
      <c r="O342" s="58">
        <f>[2]Base!AQ342</f>
        <v>147000000</v>
      </c>
      <c r="P342" s="59">
        <f>[2]Base!EF342</f>
        <v>1.0624095238095238E-2</v>
      </c>
      <c r="Q342" s="59">
        <f>[2]Base!EH342</f>
        <v>0.72731090476190474</v>
      </c>
      <c r="R342" s="59">
        <f>[2]Base!EJ342</f>
        <v>0.26196585714285714</v>
      </c>
      <c r="S342" s="60">
        <f>[2]Base!EL342</f>
        <v>9.9142857142857146E-5</v>
      </c>
    </row>
    <row r="343" spans="2:19" ht="13.2" x14ac:dyDescent="0.25">
      <c r="B343" s="51" t="str">
        <f>[2]Base!A343</f>
        <v>BANCO BMG</v>
      </c>
      <c r="C343" s="52" t="str">
        <f>[2]Base!C343</f>
        <v>N1</v>
      </c>
      <c r="D343" s="52" t="str">
        <f>[2]Base!EQ343</f>
        <v>Bancos</v>
      </c>
      <c r="E343" s="52" t="str">
        <f>[2]Base!M343</f>
        <v>XP Investimentos</v>
      </c>
      <c r="F343" s="52" t="str">
        <f>[2]Base!F343</f>
        <v>IPO</v>
      </c>
      <c r="G343" s="52" t="str">
        <f>[2]Base!G343</f>
        <v>ICVM 400</v>
      </c>
      <c r="H343" s="53">
        <f>[2]Base!X343</f>
        <v>43762</v>
      </c>
      <c r="I343" s="54">
        <f>[2]Base!W343</f>
        <v>11.6</v>
      </c>
      <c r="J343" s="55">
        <f>[2]Base!J343</f>
        <v>43766</v>
      </c>
      <c r="K343" s="114">
        <f>[2]Base!BL343</f>
        <v>4703</v>
      </c>
      <c r="L343" s="114">
        <f>[2]Base!DZ343</f>
        <v>5252</v>
      </c>
      <c r="M343" s="57">
        <f>[2]Base!AO343</f>
        <v>1200000013.2</v>
      </c>
      <c r="N343" s="57">
        <f>[2]Base!AP343</f>
        <v>191304358</v>
      </c>
      <c r="O343" s="58">
        <f>[2]Base!AQ343</f>
        <v>1391304371.2</v>
      </c>
      <c r="P343" s="59">
        <f>[2]Base!EF343</f>
        <v>0.10140722788452047</v>
      </c>
      <c r="Q343" s="59">
        <f>[2]Base!EH343</f>
        <v>0.61375558724868851</v>
      </c>
      <c r="R343" s="59">
        <f>[2]Base!EJ343</f>
        <v>0.2746679579786524</v>
      </c>
      <c r="S343" s="60">
        <f>[2]Base!EL343</f>
        <v>1.0169226888138504E-2</v>
      </c>
    </row>
    <row r="344" spans="2:19" ht="13.2" x14ac:dyDescent="0.25">
      <c r="B344" s="51" t="str">
        <f>[2]Base!A344</f>
        <v>CEA MODAS</v>
      </c>
      <c r="C344" s="52" t="str">
        <f>[2]Base!C344</f>
        <v>NM</v>
      </c>
      <c r="D344" s="52" t="str">
        <f>[2]Base!EQ344</f>
        <v>Tecidos. Vestuário e Calçados</v>
      </c>
      <c r="E344" s="52" t="str">
        <f>[2]Base!M344</f>
        <v>Morgan Stanley</v>
      </c>
      <c r="F344" s="52" t="str">
        <f>[2]Base!F344</f>
        <v>IPO</v>
      </c>
      <c r="G344" s="52" t="str">
        <f>[2]Base!G344</f>
        <v>ICVM 400</v>
      </c>
      <c r="H344" s="53">
        <f>[2]Base!X344</f>
        <v>43762</v>
      </c>
      <c r="I344" s="54">
        <f>[2]Base!W344</f>
        <v>16.5</v>
      </c>
      <c r="J344" s="55">
        <f>[2]Base!J344</f>
        <v>43766</v>
      </c>
      <c r="K344" s="114">
        <f>[2]Base!BL344</f>
        <v>4247</v>
      </c>
      <c r="L344" s="114">
        <f>[2]Base!DZ344</f>
        <v>4724</v>
      </c>
      <c r="M344" s="57">
        <f>[2]Base!AO344</f>
        <v>813698622</v>
      </c>
      <c r="N344" s="57">
        <f>[2]Base!AP344</f>
        <v>941070009</v>
      </c>
      <c r="O344" s="58">
        <f>[2]Base!AQ344</f>
        <v>1754768631</v>
      </c>
      <c r="P344" s="59">
        <f>[2]Base!EF344</f>
        <v>9.6985583330420844E-2</v>
      </c>
      <c r="Q344" s="59">
        <f>[2]Base!EH344</f>
        <v>0.50624742055424221</v>
      </c>
      <c r="R344" s="59">
        <f>[2]Base!EJ344</f>
        <v>0.39321048149407806</v>
      </c>
      <c r="S344" s="60">
        <f>[2]Base!EL344</f>
        <v>3.5565146212588202E-3</v>
      </c>
    </row>
    <row r="345" spans="2:19" ht="13.2" x14ac:dyDescent="0.25">
      <c r="B345" s="51" t="str">
        <f>[2]Base!A345</f>
        <v>MAGAZ LUIZA</v>
      </c>
      <c r="C345" s="52" t="str">
        <f>[2]Base!C345</f>
        <v>NM</v>
      </c>
      <c r="D345" s="52" t="str">
        <f>[2]Base!EQ345</f>
        <v>Eletrodomésticos</v>
      </c>
      <c r="E345" s="52" t="str">
        <f>[2]Base!M345</f>
        <v>Itaú BBA</v>
      </c>
      <c r="F345" s="52" t="str">
        <f>[2]Base!F345</f>
        <v>FOLLOW-ON</v>
      </c>
      <c r="G345" s="52" t="str">
        <f>[2]Base!G345</f>
        <v>ICVM 476</v>
      </c>
      <c r="H345" s="53">
        <f>[2]Base!X345</f>
        <v>43781</v>
      </c>
      <c r="I345" s="54">
        <f>[2]Base!W345</f>
        <v>43</v>
      </c>
      <c r="J345" s="55">
        <f>[2]Base!J345</f>
        <v>43783</v>
      </c>
      <c r="K345" s="114">
        <f>[2]Base!BL345</f>
        <v>2870</v>
      </c>
      <c r="L345" s="114">
        <f>[2]Base!DZ345</f>
        <v>3803</v>
      </c>
      <c r="M345" s="57">
        <f>[2]Base!AO345</f>
        <v>4300000000</v>
      </c>
      <c r="N345" s="57">
        <f>[2]Base!AP345</f>
        <v>430000000</v>
      </c>
      <c r="O345" s="58">
        <f>[2]Base!AQ345</f>
        <v>4730000000</v>
      </c>
      <c r="P345" s="59">
        <f>[2]Base!EF345</f>
        <v>2.447681818181818E-3</v>
      </c>
      <c r="Q345" s="59">
        <f>[2]Base!EH345</f>
        <v>0.56667219999999996</v>
      </c>
      <c r="R345" s="59">
        <f>[2]Base!EJ345</f>
        <v>0.42326165454545456</v>
      </c>
      <c r="S345" s="60">
        <f>[2]Base!EL345</f>
        <v>7.6184636363636361E-3</v>
      </c>
    </row>
    <row r="346" spans="2:19" ht="13.2" x14ac:dyDescent="0.25">
      <c r="B346" s="51" t="str">
        <f>[2]Base!A346</f>
        <v>JHSF PART</v>
      </c>
      <c r="C346" s="52" t="str">
        <f>[2]Base!C346</f>
        <v>NM</v>
      </c>
      <c r="D346" s="52" t="str">
        <f>[2]Base!EQ346</f>
        <v>Incorporações</v>
      </c>
      <c r="E346" s="52" t="str">
        <f>[2]Base!M346</f>
        <v>BTG Pactual</v>
      </c>
      <c r="F346" s="52" t="str">
        <f>[2]Base!F346</f>
        <v>FOLLOW-ON</v>
      </c>
      <c r="G346" s="52" t="str">
        <f>[2]Base!G346</f>
        <v>ICVM 476</v>
      </c>
      <c r="H346" s="53">
        <f>[2]Base!X346</f>
        <v>43782</v>
      </c>
      <c r="I346" s="54">
        <f>[2]Base!W346</f>
        <v>4.75</v>
      </c>
      <c r="J346" s="55">
        <f>[2]Base!J346</f>
        <v>43787</v>
      </c>
      <c r="K346" s="114">
        <f>[2]Base!BL346</f>
        <v>0</v>
      </c>
      <c r="L346" s="114">
        <f>[2]Base!DZ346</f>
        <v>1619</v>
      </c>
      <c r="M346" s="57">
        <f>[2]Base!AO346</f>
        <v>513000000</v>
      </c>
      <c r="N346" s="57">
        <f>[2]Base!AP346</f>
        <v>0</v>
      </c>
      <c r="O346" s="58">
        <f>[2]Base!AQ346</f>
        <v>513000000</v>
      </c>
      <c r="P346" s="59">
        <f>[2]Base!EF346</f>
        <v>0</v>
      </c>
      <c r="Q346" s="59">
        <f>[2]Base!EH346</f>
        <v>0.55287562962962966</v>
      </c>
      <c r="R346" s="59">
        <f>[2]Base!EJ346</f>
        <v>0.38842592592592595</v>
      </c>
      <c r="S346" s="60">
        <f>[2]Base!EL346</f>
        <v>5.8698444444444442E-2</v>
      </c>
    </row>
    <row r="347" spans="2:19" ht="13.2" x14ac:dyDescent="0.25">
      <c r="B347" s="51" t="str">
        <f>[2]Base!A347</f>
        <v>LOG-IN</v>
      </c>
      <c r="C347" s="52" t="str">
        <f>[2]Base!C347</f>
        <v>NM</v>
      </c>
      <c r="D347" s="52" t="str">
        <f>[2]Base!EQ347</f>
        <v>Transporte Hidroviário</v>
      </c>
      <c r="E347" s="52" t="str">
        <f>[2]Base!M347</f>
        <v>Goldman Sachs</v>
      </c>
      <c r="F347" s="52" t="str">
        <f>[2]Base!F347</f>
        <v>FOLLOW-ON</v>
      </c>
      <c r="G347" s="52" t="str">
        <f>[2]Base!G347</f>
        <v>ICVM 476</v>
      </c>
      <c r="H347" s="53">
        <f>[2]Base!X347</f>
        <v>43790</v>
      </c>
      <c r="I347" s="54">
        <f>[2]Base!W347</f>
        <v>14.5</v>
      </c>
      <c r="J347" s="55">
        <f>[2]Base!J347</f>
        <v>43794</v>
      </c>
      <c r="K347" s="114">
        <f>[2]Base!BL347</f>
        <v>0</v>
      </c>
      <c r="L347" s="114">
        <f>[2]Base!DZ347</f>
        <v>421</v>
      </c>
      <c r="M347" s="57">
        <f>[2]Base!AO347</f>
        <v>633650000</v>
      </c>
      <c r="N347" s="57">
        <f>[2]Base!AP347</f>
        <v>0</v>
      </c>
      <c r="O347" s="58">
        <f>[2]Base!AQ347</f>
        <v>633650000</v>
      </c>
      <c r="P347" s="59">
        <f>[2]Base!EF347</f>
        <v>0</v>
      </c>
      <c r="Q347" s="59">
        <f>[2]Base!EH347</f>
        <v>0.56635983981693361</v>
      </c>
      <c r="R347" s="59">
        <f>[2]Base!EJ347</f>
        <v>0.35230114416475972</v>
      </c>
      <c r="S347" s="60">
        <f>[2]Base!EL347</f>
        <v>8.1339016018306634E-2</v>
      </c>
    </row>
    <row r="348" spans="2:19" ht="13.2" x14ac:dyDescent="0.25">
      <c r="B348" s="51" t="str">
        <f>[2]Base!A348</f>
        <v>BR PROPERT</v>
      </c>
      <c r="C348" s="52" t="str">
        <f>[2]Base!C348</f>
        <v>NM</v>
      </c>
      <c r="D348" s="52" t="str">
        <f>[2]Base!EQ348</f>
        <v>Exploração de Imóveis</v>
      </c>
      <c r="E348" s="52" t="str">
        <f>[2]Base!M348</f>
        <v>Itaú BBA</v>
      </c>
      <c r="F348" s="52" t="str">
        <f>[2]Base!F348</f>
        <v>FOLLOW-ON</v>
      </c>
      <c r="G348" s="52" t="str">
        <f>[2]Base!G348</f>
        <v>ICVM 476</v>
      </c>
      <c r="H348" s="53">
        <f>[2]Base!X348</f>
        <v>43790</v>
      </c>
      <c r="I348" s="54">
        <f>[2]Base!W348</f>
        <v>12.5</v>
      </c>
      <c r="J348" s="55">
        <f>[2]Base!J348</f>
        <v>43794</v>
      </c>
      <c r="K348" s="114">
        <f>[2]Base!BL348</f>
        <v>51</v>
      </c>
      <c r="L348" s="114">
        <f>[2]Base!DZ348</f>
        <v>299</v>
      </c>
      <c r="M348" s="57">
        <f>[2]Base!AO348</f>
        <v>1054687500</v>
      </c>
      <c r="N348" s="57">
        <f>[2]Base!AP348</f>
        <v>0</v>
      </c>
      <c r="O348" s="58">
        <f>[2]Base!AQ348</f>
        <v>1054687500</v>
      </c>
      <c r="P348" s="59">
        <f>[2]Base!EF348</f>
        <v>4.4242962962962962E-4</v>
      </c>
      <c r="Q348" s="59">
        <f>[2]Base!EH348</f>
        <v>0.53270363259259257</v>
      </c>
      <c r="R348" s="59">
        <f>[2]Base!EJ348</f>
        <v>0.46446416592592593</v>
      </c>
      <c r="S348" s="60">
        <f>[2]Base!EL348</f>
        <v>2.3897718518518518E-3</v>
      </c>
    </row>
    <row r="349" spans="2:19" ht="13.2" x14ac:dyDescent="0.25">
      <c r="B349" s="51" t="str">
        <f>[2]Base!A349</f>
        <v>LOJAS MARISA</v>
      </c>
      <c r="C349" s="52" t="str">
        <f>[2]Base!C349</f>
        <v>NM</v>
      </c>
      <c r="D349" s="52" t="str">
        <f>[2]Base!EQ349</f>
        <v>Tecidos. Vestuário e Calçados</v>
      </c>
      <c r="E349" s="52" t="str">
        <f>[2]Base!M349</f>
        <v>Itaú BBA</v>
      </c>
      <c r="F349" s="52" t="str">
        <f>[2]Base!F349</f>
        <v>FOLLOW-ON</v>
      </c>
      <c r="G349" s="52" t="str">
        <f>[2]Base!G349</f>
        <v>ICVM 476</v>
      </c>
      <c r="H349" s="53">
        <f>[2]Base!X349</f>
        <v>43803</v>
      </c>
      <c r="I349" s="54">
        <f>[2]Base!W349</f>
        <v>10</v>
      </c>
      <c r="J349" s="55">
        <f>[2]Base!J349</f>
        <v>43805</v>
      </c>
      <c r="K349" s="114">
        <f>[2]Base!BL349</f>
        <v>130</v>
      </c>
      <c r="L349" s="114">
        <f>[2]Base!DZ349</f>
        <v>374</v>
      </c>
      <c r="M349" s="57">
        <f>[2]Base!AO349</f>
        <v>567708330</v>
      </c>
      <c r="N349" s="57">
        <f>[2]Base!AP349</f>
        <v>0</v>
      </c>
      <c r="O349" s="58">
        <f>[2]Base!AQ349</f>
        <v>567708330</v>
      </c>
      <c r="P349" s="59">
        <f>[2]Base!EF349</f>
        <v>3.3597181848644005E-3</v>
      </c>
      <c r="Q349" s="59">
        <f>[2]Base!EH349</f>
        <v>0.66781627107708641</v>
      </c>
      <c r="R349" s="59">
        <f>[2]Base!EJ349</f>
        <v>0.29617224394082786</v>
      </c>
      <c r="S349" s="60">
        <f>[2]Base!EL349</f>
        <v>3.2651766797221385E-2</v>
      </c>
    </row>
    <row r="350" spans="2:19" ht="13.2" x14ac:dyDescent="0.25">
      <c r="B350" s="51" t="str">
        <f>[2]Base!A350</f>
        <v>ALIANSCSONAE</v>
      </c>
      <c r="C350" s="52" t="str">
        <f>[2]Base!C350</f>
        <v>NM</v>
      </c>
      <c r="D350" s="52" t="str">
        <f>[2]Base!EQ350</f>
        <v>Exploração de Imóveis</v>
      </c>
      <c r="E350" s="52" t="str">
        <f>[2]Base!M350</f>
        <v>Bank of America</v>
      </c>
      <c r="F350" s="52" t="str">
        <f>[2]Base!F350</f>
        <v>FOLLOW-ON</v>
      </c>
      <c r="G350" s="52" t="str">
        <f>[2]Base!G350</f>
        <v>ICVM 476</v>
      </c>
      <c r="H350" s="53">
        <f>[2]Base!X350</f>
        <v>43804</v>
      </c>
      <c r="I350" s="54">
        <f>[2]Base!W350</f>
        <v>43</v>
      </c>
      <c r="J350" s="55">
        <f>[2]Base!J350</f>
        <v>43808</v>
      </c>
      <c r="K350" s="114">
        <f>[2]Base!BL350</f>
        <v>0</v>
      </c>
      <c r="L350" s="114">
        <f>[2]Base!DZ350</f>
        <v>443</v>
      </c>
      <c r="M350" s="57">
        <f>[2]Base!AO350</f>
        <v>1190769244</v>
      </c>
      <c r="N350" s="57">
        <f>[2]Base!AP350</f>
        <v>0</v>
      </c>
      <c r="O350" s="58">
        <f>[2]Base!AQ350</f>
        <v>1190769244</v>
      </c>
      <c r="P350" s="59">
        <f>[2]Base!EF350</f>
        <v>9.4249998952777793E-4</v>
      </c>
      <c r="Q350" s="59">
        <f>[2]Base!EH350</f>
        <v>0.49793823613401961</v>
      </c>
      <c r="R350" s="59">
        <f>[2]Base!EJ350</f>
        <v>0.36040657932881581</v>
      </c>
      <c r="S350" s="60">
        <f>[2]Base!EL350</f>
        <v>0.14071268454763683</v>
      </c>
    </row>
    <row r="351" spans="2:19" ht="13.2" x14ac:dyDescent="0.25">
      <c r="B351" s="51" t="str">
        <f>[2]Base!A351</f>
        <v>INTERMEDICA</v>
      </c>
      <c r="C351" s="52" t="str">
        <f>[2]Base!C351</f>
        <v>NM</v>
      </c>
      <c r="D351" s="52" t="str">
        <f>[2]Base!EQ351</f>
        <v>Serv.Méd.Hospit..Análises e Diagnósticos</v>
      </c>
      <c r="E351" s="52" t="str">
        <f>[2]Base!M351</f>
        <v>Itaú BBA</v>
      </c>
      <c r="F351" s="52" t="str">
        <f>[2]Base!F351</f>
        <v>FOLLOW-ON</v>
      </c>
      <c r="G351" s="52" t="str">
        <f>[2]Base!G351</f>
        <v>ICVM 476</v>
      </c>
      <c r="H351" s="53">
        <f>[2]Base!X351</f>
        <v>43810</v>
      </c>
      <c r="I351" s="54">
        <f>[2]Base!W351</f>
        <v>57</v>
      </c>
      <c r="J351" s="55">
        <f>[2]Base!J351</f>
        <v>43812</v>
      </c>
      <c r="K351" s="114">
        <f>[2]Base!BL351</f>
        <v>662</v>
      </c>
      <c r="L351" s="114">
        <f>[2]Base!DZ351</f>
        <v>1376</v>
      </c>
      <c r="M351" s="57">
        <f>[2]Base!AO351</f>
        <v>3705000000</v>
      </c>
      <c r="N351" s="57">
        <f>[2]Base!AP351</f>
        <v>1296750000</v>
      </c>
      <c r="O351" s="58">
        <f>[2]Base!AQ351</f>
        <v>5001750000</v>
      </c>
      <c r="P351" s="59">
        <f>[2]Base!EF351</f>
        <v>6.2811396011396015E-4</v>
      </c>
      <c r="Q351" s="59">
        <f>[2]Base!EH351</f>
        <v>0.44429349287749287</v>
      </c>
      <c r="R351" s="59">
        <f>[2]Base!EJ351</f>
        <v>0.55414322507122504</v>
      </c>
      <c r="S351" s="60">
        <f>[2]Base!EL351</f>
        <v>9.351680911680912E-4</v>
      </c>
    </row>
    <row r="352" spans="2:19" ht="13.2" x14ac:dyDescent="0.25">
      <c r="B352" s="51" t="str">
        <f>[2]Base!A352</f>
        <v>LOCAMERICA</v>
      </c>
      <c r="C352" s="52" t="str">
        <f>[2]Base!C352</f>
        <v>NM</v>
      </c>
      <c r="D352" s="52" t="str">
        <f>[2]Base!EQ352</f>
        <v>Aluguel de carros</v>
      </c>
      <c r="E352" s="52" t="str">
        <f>[2]Base!M352</f>
        <v>Itaú BBA</v>
      </c>
      <c r="F352" s="52" t="str">
        <f>[2]Base!F352</f>
        <v>FOLLOW-ON</v>
      </c>
      <c r="G352" s="52" t="str">
        <f>[2]Base!G352</f>
        <v>ICVM 476</v>
      </c>
      <c r="H352" s="53">
        <f>[2]Base!X352</f>
        <v>43816</v>
      </c>
      <c r="I352" s="54">
        <f>[2]Base!W352</f>
        <v>19.5</v>
      </c>
      <c r="J352" s="55">
        <f>[2]Base!J352</f>
        <v>43818</v>
      </c>
      <c r="K352" s="114">
        <f>[2]Base!BL352</f>
        <v>593</v>
      </c>
      <c r="L352" s="114">
        <f>[2]Base!DZ352</f>
        <v>1061</v>
      </c>
      <c r="M352" s="57">
        <f>[2]Base!AO352</f>
        <v>1189500000</v>
      </c>
      <c r="N352" s="57">
        <f>[2]Base!AP352</f>
        <v>639771249</v>
      </c>
      <c r="O352" s="58">
        <f>[2]Base!AQ352</f>
        <v>1829271249</v>
      </c>
      <c r="P352" s="59">
        <f>[2]Base!EF352</f>
        <v>2.3667826749951834E-3</v>
      </c>
      <c r="Q352" s="59">
        <f>[2]Base!EH352</f>
        <v>0.48046370541299643</v>
      </c>
      <c r="R352" s="59">
        <f>[2]Base!EJ352</f>
        <v>0.50952361794869061</v>
      </c>
      <c r="S352" s="60">
        <f>[2]Base!EL352</f>
        <v>7.6458939633178482E-3</v>
      </c>
    </row>
    <row r="353" spans="2:19" ht="13.2" x14ac:dyDescent="0.25">
      <c r="B353" s="51" t="str">
        <f>[2]Base!A353</f>
        <v>MARFRIG</v>
      </c>
      <c r="C353" s="52" t="str">
        <f>[2]Base!C353</f>
        <v>NM</v>
      </c>
      <c r="D353" s="52" t="str">
        <f>[2]Base!EQ353</f>
        <v>Carnes e Derivados</v>
      </c>
      <c r="E353" s="52" t="str">
        <f>[2]Base!M353</f>
        <v>Santander</v>
      </c>
      <c r="F353" s="52" t="str">
        <f>[2]Base!F353</f>
        <v>FOLLOW-ON</v>
      </c>
      <c r="G353" s="52" t="str">
        <f>[2]Base!G353</f>
        <v>ICVM 476</v>
      </c>
      <c r="H353" s="53">
        <f>[2]Base!X353</f>
        <v>43816</v>
      </c>
      <c r="I353" s="54">
        <f>[2]Base!W353</f>
        <v>10</v>
      </c>
      <c r="J353" s="55">
        <f>[2]Base!J353</f>
        <v>43818</v>
      </c>
      <c r="K353" s="114">
        <f>[2]Base!BL353</f>
        <v>614</v>
      </c>
      <c r="L353" s="114">
        <f>[2]Base!DZ353</f>
        <v>681</v>
      </c>
      <c r="M353" s="57">
        <f>[2]Base!AO353</f>
        <v>900900910</v>
      </c>
      <c r="N353" s="57">
        <f>[2]Base!AP353</f>
        <v>2096484270</v>
      </c>
      <c r="O353" s="58">
        <f>[2]Base!AQ353</f>
        <v>2997385180</v>
      </c>
      <c r="P353" s="59">
        <f>[2]Base!EF353</f>
        <v>0.14105915143011416</v>
      </c>
      <c r="Q353" s="59">
        <f>[2]Base!EH353</f>
        <v>0.39980733140209895</v>
      </c>
      <c r="R353" s="59">
        <f>[2]Base!EJ353</f>
        <v>0.45913351716778689</v>
      </c>
      <c r="S353" s="60">
        <f>[2]Base!EL353</f>
        <v>0</v>
      </c>
    </row>
    <row r="354" spans="2:19" ht="13.8" thickBot="1" x14ac:dyDescent="0.3">
      <c r="B354" s="30" t="str">
        <f>[2]Base!A354</f>
        <v>LE LIS BLANC</v>
      </c>
      <c r="C354" s="31" t="str">
        <f>[2]Base!C354</f>
        <v>NM</v>
      </c>
      <c r="D354" s="31" t="str">
        <f>[2]Base!EQ354</f>
        <v>Tecidos. Vestuário e Calçados</v>
      </c>
      <c r="E354" s="31" t="str">
        <f>[2]Base!M354</f>
        <v>Santander</v>
      </c>
      <c r="F354" s="31" t="str">
        <f>[2]Base!F354</f>
        <v>FOLLOW-ON</v>
      </c>
      <c r="G354" s="31" t="str">
        <f>[2]Base!G354</f>
        <v>ICVM 476</v>
      </c>
      <c r="H354" s="32">
        <f>[2]Base!X354</f>
        <v>43817</v>
      </c>
      <c r="I354" s="33">
        <f>[2]Base!W354</f>
        <v>15</v>
      </c>
      <c r="J354" s="34">
        <f>[2]Base!J354</f>
        <v>43819</v>
      </c>
      <c r="K354" s="86">
        <f>[2]Base!BL354</f>
        <v>121</v>
      </c>
      <c r="L354" s="86">
        <f>[2]Base!DZ354</f>
        <v>141</v>
      </c>
      <c r="M354" s="36">
        <f>[2]Base!AO354</f>
        <v>258750000</v>
      </c>
      <c r="N354" s="36">
        <f>[2]Base!AP354</f>
        <v>0</v>
      </c>
      <c r="O354" s="37">
        <f>[2]Base!AQ354</f>
        <v>258750000</v>
      </c>
      <c r="P354" s="38">
        <f>[2]Base!EF354</f>
        <v>0.2988846956521739</v>
      </c>
      <c r="Q354" s="38">
        <f>[2]Base!EH354</f>
        <v>0.6967674782608696</v>
      </c>
      <c r="R354" s="38">
        <f>[2]Base!EJ354</f>
        <v>4.3478260869565218E-3</v>
      </c>
      <c r="S354" s="39">
        <f>[2]Base!EL354</f>
        <v>0</v>
      </c>
    </row>
    <row r="355" spans="2:19" ht="13.8" thickTop="1" x14ac:dyDescent="0.25">
      <c r="B355" s="40" t="str">
        <f>[2]Base!A355</f>
        <v>MINERVA</v>
      </c>
      <c r="C355" s="74" t="str">
        <f>[2]Base!C355</f>
        <v>NM</v>
      </c>
      <c r="D355" s="74" t="str">
        <f>[2]Base!EQ355</f>
        <v>Carnes e Derivados</v>
      </c>
      <c r="E355" s="74" t="str">
        <f>[2]Base!M355</f>
        <v>BTG Pactual</v>
      </c>
      <c r="F355" s="74" t="str">
        <f>[2]Base!F355</f>
        <v>FOLLOW-ON</v>
      </c>
      <c r="G355" s="74" t="str">
        <f>[2]Base!G355</f>
        <v>ICVM 476</v>
      </c>
      <c r="H355" s="75">
        <f>[2]Base!X355</f>
        <v>43853</v>
      </c>
      <c r="I355" s="76">
        <f>[2]Base!W355</f>
        <v>13</v>
      </c>
      <c r="J355" s="77">
        <f>[2]Base!J355</f>
        <v>43857</v>
      </c>
      <c r="K355" s="79">
        <f>[2]Base!BL355</f>
        <v>0</v>
      </c>
      <c r="L355" s="79">
        <f>[2]Base!DZ355</f>
        <v>1226</v>
      </c>
      <c r="M355" s="80">
        <f>[2]Base!AO355</f>
        <v>1040000000</v>
      </c>
      <c r="N355" s="80">
        <f>[2]Base!AP355</f>
        <v>195000000</v>
      </c>
      <c r="O355" s="82">
        <f>[2]Base!AQ355</f>
        <v>1235000000</v>
      </c>
      <c r="P355" s="84">
        <f>[2]Base!EF355</f>
        <v>0</v>
      </c>
      <c r="Q355" s="84">
        <f>[2]Base!EH355</f>
        <v>0.47924267368421053</v>
      </c>
      <c r="R355" s="84">
        <f>[2]Base!EJ355</f>
        <v>0.42518526315789473</v>
      </c>
      <c r="S355" s="85">
        <f>[2]Base!EL355</f>
        <v>9.5572063157894738E-2</v>
      </c>
    </row>
    <row r="356" spans="2:19" ht="13.2" x14ac:dyDescent="0.25">
      <c r="B356" s="51" t="str">
        <f>[2]Base!A356</f>
        <v>ANIMA</v>
      </c>
      <c r="C356" s="52" t="str">
        <f>[2]Base!C356</f>
        <v>NM</v>
      </c>
      <c r="D356" s="52" t="str">
        <f>[2]Base!EQ356</f>
        <v>Serviços Educacionais</v>
      </c>
      <c r="E356" s="52" t="str">
        <f>[2]Base!M356</f>
        <v>XP Investimentos</v>
      </c>
      <c r="F356" s="52" t="str">
        <f>[2]Base!F356</f>
        <v>FOLLOW-ON</v>
      </c>
      <c r="G356" s="52" t="str">
        <f>[2]Base!G356</f>
        <v>ICVM 476</v>
      </c>
      <c r="H356" s="53">
        <f>[2]Base!X356</f>
        <v>43859</v>
      </c>
      <c r="I356" s="54">
        <f>[2]Base!W356</f>
        <v>36.25</v>
      </c>
      <c r="J356" s="55">
        <f>[2]Base!J356</f>
        <v>43861</v>
      </c>
      <c r="K356" s="114">
        <f>[2]Base!BL356</f>
        <v>96</v>
      </c>
      <c r="L356" s="114">
        <f>[2]Base!DZ356</f>
        <v>332</v>
      </c>
      <c r="M356" s="57">
        <f>[2]Base!AO356</f>
        <v>1100213600</v>
      </c>
      <c r="N356" s="57">
        <f>[2]Base!AP356</f>
        <v>0</v>
      </c>
      <c r="O356" s="58">
        <f>[2]Base!AQ356</f>
        <v>1100213600</v>
      </c>
      <c r="P356" s="59">
        <f>[2]Base!EF356</f>
        <v>0.1322984100541931</v>
      </c>
      <c r="Q356" s="59">
        <f>[2]Base!EH356</f>
        <v>0.56927773047888153</v>
      </c>
      <c r="R356" s="59">
        <f>[2]Base!EJ356</f>
        <v>0.29842385946692535</v>
      </c>
      <c r="S356" s="60">
        <f>[2]Base!EL356</f>
        <v>0</v>
      </c>
    </row>
    <row r="357" spans="2:19" ht="13.2" x14ac:dyDescent="0.25">
      <c r="B357" s="51" t="str">
        <f>[2]Base!A357</f>
        <v>POSITIVO TEC</v>
      </c>
      <c r="C357" s="52" t="str">
        <f>[2]Base!C357</f>
        <v>NM</v>
      </c>
      <c r="D357" s="52" t="str">
        <f>[2]Base!EQ357</f>
        <v>Computadores e Equipamentos</v>
      </c>
      <c r="E357" s="52" t="str">
        <f>[2]Base!M357</f>
        <v>BTG Pactual</v>
      </c>
      <c r="F357" s="52" t="str">
        <f>[2]Base!F357</f>
        <v>FOLLOW-ON</v>
      </c>
      <c r="G357" s="52" t="str">
        <f>[2]Base!G357</f>
        <v>ICVM 476</v>
      </c>
      <c r="H357" s="53">
        <f>[2]Base!X357</f>
        <v>43860</v>
      </c>
      <c r="I357" s="54">
        <f>[2]Base!W357</f>
        <v>6.55</v>
      </c>
      <c r="J357" s="55">
        <f>[2]Base!J357</f>
        <v>43864</v>
      </c>
      <c r="K357" s="114">
        <f>[2]Base!BL357</f>
        <v>0</v>
      </c>
      <c r="L357" s="114">
        <f>[2]Base!DZ357</f>
        <v>321</v>
      </c>
      <c r="M357" s="57">
        <f>[2]Base!AO357</f>
        <v>353700000</v>
      </c>
      <c r="N357" s="57">
        <f>[2]Base!AP357</f>
        <v>0</v>
      </c>
      <c r="O357" s="58">
        <f>[2]Base!AQ357</f>
        <v>353700000</v>
      </c>
      <c r="P357" s="59">
        <f>[2]Base!EF357</f>
        <v>0</v>
      </c>
      <c r="Q357" s="59">
        <f>[2]Base!EH357</f>
        <v>0.82411924074074072</v>
      </c>
      <c r="R357" s="59">
        <f>[2]Base!EJ357</f>
        <v>0.13694444444444445</v>
      </c>
      <c r="S357" s="60">
        <f>[2]Base!EL357</f>
        <v>3.8936314814814812E-2</v>
      </c>
    </row>
    <row r="358" spans="2:19" ht="13.2" x14ac:dyDescent="0.25">
      <c r="B358" s="51" t="str">
        <f>[2]Base!A358</f>
        <v>MITRE REALTY</v>
      </c>
      <c r="C358" s="52" t="str">
        <f>[2]Base!C358</f>
        <v>NM</v>
      </c>
      <c r="D358" s="52" t="str">
        <f>[2]Base!EQ358</f>
        <v>Incorporações</v>
      </c>
      <c r="E358" s="52" t="str">
        <f>[2]Base!M358</f>
        <v>Itaú BBA</v>
      </c>
      <c r="F358" s="52" t="str">
        <f>[2]Base!F358</f>
        <v>IPO</v>
      </c>
      <c r="G358" s="52" t="str">
        <f>[2]Base!G358</f>
        <v>ICVM 400</v>
      </c>
      <c r="H358" s="53">
        <f>[2]Base!X358</f>
        <v>43864</v>
      </c>
      <c r="I358" s="54">
        <f>[2]Base!W358</f>
        <v>19.3</v>
      </c>
      <c r="J358" s="55">
        <f>[2]Base!J358</f>
        <v>43866</v>
      </c>
      <c r="K358" s="114">
        <f>[2]Base!BL358</f>
        <v>7300</v>
      </c>
      <c r="L358" s="114">
        <f>[2]Base!DZ358</f>
        <v>7748</v>
      </c>
      <c r="M358" s="57">
        <f>[2]Base!AO358</f>
        <v>958724026</v>
      </c>
      <c r="N358" s="57">
        <f>[2]Base!AP358</f>
        <v>94003236.200000003</v>
      </c>
      <c r="O358" s="58">
        <f>[2]Base!AQ358</f>
        <v>1052727262.2</v>
      </c>
      <c r="P358" s="59">
        <f>[2]Base!EF358</f>
        <v>0.10116679204494311</v>
      </c>
      <c r="Q358" s="59">
        <f>[2]Base!EH358</f>
        <v>0.42703269496718532</v>
      </c>
      <c r="R358" s="59">
        <f>[2]Base!EJ358</f>
        <v>0.4502438366019848</v>
      </c>
      <c r="S358" s="60">
        <f>[2]Base!EL358</f>
        <v>2.1556676385886799E-2</v>
      </c>
    </row>
    <row r="359" spans="2:19" ht="13.2" x14ac:dyDescent="0.25">
      <c r="B359" s="51" t="str">
        <f>[2]Base!A359</f>
        <v>LOCAWEB</v>
      </c>
      <c r="C359" s="52" t="str">
        <f>[2]Base!C359</f>
        <v>NM</v>
      </c>
      <c r="D359" s="52" t="str">
        <f>[2]Base!EQ359</f>
        <v>Programas e Serviços</v>
      </c>
      <c r="E359" s="52" t="str">
        <f>[2]Base!M359</f>
        <v>Itaú BBA</v>
      </c>
      <c r="F359" s="52" t="str">
        <f>[2]Base!F359</f>
        <v>IPO</v>
      </c>
      <c r="G359" s="52" t="str">
        <f>[2]Base!G359</f>
        <v>ICVM 400</v>
      </c>
      <c r="H359" s="53">
        <f>[2]Base!X359</f>
        <v>43865</v>
      </c>
      <c r="I359" s="54">
        <f>[2]Base!W359</f>
        <v>17.25</v>
      </c>
      <c r="J359" s="55">
        <f>[2]Base!J359</f>
        <v>43867</v>
      </c>
      <c r="K359" s="114">
        <f>[2]Base!BL359</f>
        <v>3180</v>
      </c>
      <c r="L359" s="114">
        <f>[2]Base!DZ359</f>
        <v>3704</v>
      </c>
      <c r="M359" s="57">
        <f>[2]Base!AO359</f>
        <v>574999994.25</v>
      </c>
      <c r="N359" s="57">
        <f>[2]Base!AP359</f>
        <v>750144988.5</v>
      </c>
      <c r="O359" s="58">
        <f>[2]Base!AQ359</f>
        <v>1325144982.75</v>
      </c>
      <c r="P359" s="59">
        <f>[2]Base!EF359</f>
        <v>0.1001020059893518</v>
      </c>
      <c r="Q359" s="59">
        <f>[2]Base!EH359</f>
        <v>0.32811089987126918</v>
      </c>
      <c r="R359" s="59">
        <f>[2]Base!EJ359</f>
        <v>0.54889604984243756</v>
      </c>
      <c r="S359" s="60">
        <f>[2]Base!EL359</f>
        <v>2.2891044296941478E-2</v>
      </c>
    </row>
    <row r="360" spans="2:19" ht="13.2" x14ac:dyDescent="0.25">
      <c r="B360" s="51" t="str">
        <f>[2]Base!A360</f>
        <v>PETROBRAS</v>
      </c>
      <c r="C360" s="52" t="str">
        <f>[2]Base!C360</f>
        <v>N2</v>
      </c>
      <c r="D360" s="52" t="str">
        <f>[2]Base!EQ360</f>
        <v>Exploração. Refino e Distribuição</v>
      </c>
      <c r="E360" s="52" t="str">
        <f>[2]Base!M360</f>
        <v>Credit Suisse</v>
      </c>
      <c r="F360" s="52" t="str">
        <f>[2]Base!F360</f>
        <v>FOLLOW-ON</v>
      </c>
      <c r="G360" s="52" t="str">
        <f>[2]Base!G360</f>
        <v>ICVM 400</v>
      </c>
      <c r="H360" s="53">
        <f>[2]Base!X360</f>
        <v>43866</v>
      </c>
      <c r="I360" s="54">
        <f>[2]Base!W360</f>
        <v>30</v>
      </c>
      <c r="J360" s="55">
        <f>[2]Base!J360</f>
        <v>43868</v>
      </c>
      <c r="K360" s="114">
        <f>[2]Base!BL360</f>
        <v>53097</v>
      </c>
      <c r="L360" s="114">
        <f>[2]Base!DZ360</f>
        <v>55292</v>
      </c>
      <c r="M360" s="57">
        <f>[2]Base!AO360</f>
        <v>0</v>
      </c>
      <c r="N360" s="57">
        <f>[2]Base!AP360</f>
        <v>22026080970</v>
      </c>
      <c r="O360" s="58">
        <f>[2]Base!AQ360</f>
        <v>22026080970</v>
      </c>
      <c r="P360" s="59">
        <f>[2]Base!EF360</f>
        <v>0.16906688870671122</v>
      </c>
      <c r="Q360" s="59">
        <f>[2]Base!EH360</f>
        <v>0.43540777694689459</v>
      </c>
      <c r="R360" s="59">
        <f>[2]Base!EJ360</f>
        <v>0.38807323561745721</v>
      </c>
      <c r="S360" s="60">
        <f>[2]Base!EL360</f>
        <v>7.4520987289369801E-3</v>
      </c>
    </row>
    <row r="361" spans="2:19" ht="13.2" x14ac:dyDescent="0.25">
      <c r="B361" s="51" t="str">
        <f>[2]Base!A361</f>
        <v>COGNA ON</v>
      </c>
      <c r="C361" s="52" t="str">
        <f>[2]Base!C361</f>
        <v>NM</v>
      </c>
      <c r="D361" s="52" t="str">
        <f>[2]Base!EQ361</f>
        <v>Serviços Educacionais</v>
      </c>
      <c r="E361" s="52" t="str">
        <f>[2]Base!M361</f>
        <v>Itaú BBA</v>
      </c>
      <c r="F361" s="52" t="str">
        <f>[2]Base!F361</f>
        <v>FOLLOW-ON</v>
      </c>
      <c r="G361" s="52" t="str">
        <f>[2]Base!G361</f>
        <v>ICVM 476</v>
      </c>
      <c r="H361" s="53">
        <f>[2]Base!X361</f>
        <v>43872</v>
      </c>
      <c r="I361" s="54">
        <f>[2]Base!W361</f>
        <v>11</v>
      </c>
      <c r="J361" s="55">
        <f>[2]Base!J361</f>
        <v>43874</v>
      </c>
      <c r="K361" s="114">
        <f>[2]Base!BL361</f>
        <v>1</v>
      </c>
      <c r="L361" s="114">
        <f>[2]Base!DZ361</f>
        <v>2042</v>
      </c>
      <c r="M361" s="57">
        <f>[2]Base!AO361</f>
        <v>2555938044</v>
      </c>
      <c r="N361" s="57">
        <f>[2]Base!AP361</f>
        <v>0</v>
      </c>
      <c r="O361" s="58">
        <f>[2]Base!AQ361</f>
        <v>2555938044</v>
      </c>
      <c r="P361" s="59">
        <f>[2]Base!EF361</f>
        <v>8.6074073867496297E-5</v>
      </c>
      <c r="Q361" s="59">
        <f>[2]Base!EH361</f>
        <v>0.30330180061281642</v>
      </c>
      <c r="R361" s="59">
        <f>[2]Base!EJ361</f>
        <v>0.44945746736574654</v>
      </c>
      <c r="S361" s="60">
        <f>[2]Base!EL361</f>
        <v>0.24715465794756955</v>
      </c>
    </row>
    <row r="362" spans="2:19" ht="13.2" x14ac:dyDescent="0.25">
      <c r="B362" s="51" t="str">
        <f>[2]Base!A362</f>
        <v>MOURA DUBEUX</v>
      </c>
      <c r="C362" s="52" t="str">
        <f>[2]Base!C362</f>
        <v>NM</v>
      </c>
      <c r="D362" s="52" t="str">
        <f>[2]Base!EQ362</f>
        <v>Incorporações</v>
      </c>
      <c r="E362" s="52" t="str">
        <f>[2]Base!M362</f>
        <v>Itaú BBA</v>
      </c>
      <c r="F362" s="52" t="str">
        <f>[2]Base!F362</f>
        <v>IPO</v>
      </c>
      <c r="G362" s="52" t="str">
        <f>[2]Base!G362</f>
        <v>ICVM 400</v>
      </c>
      <c r="H362" s="53">
        <f>[2]Base!X362</f>
        <v>43872</v>
      </c>
      <c r="I362" s="54">
        <f>[2]Base!W362</f>
        <v>19</v>
      </c>
      <c r="J362" s="55">
        <f>[2]Base!J362</f>
        <v>43874</v>
      </c>
      <c r="K362" s="114">
        <f>[2]Base!BL362</f>
        <v>4678</v>
      </c>
      <c r="L362" s="114">
        <f>[2]Base!DZ362</f>
        <v>4948</v>
      </c>
      <c r="M362" s="57">
        <f>[2]Base!AO362</f>
        <v>1104867005</v>
      </c>
      <c r="N362" s="57">
        <f>[2]Base!AP362</f>
        <v>0</v>
      </c>
      <c r="O362" s="58">
        <f>[2]Base!AQ362</f>
        <v>1104867005</v>
      </c>
      <c r="P362" s="59">
        <f>[2]Base!EF362</f>
        <v>9.7688715535139414E-2</v>
      </c>
      <c r="Q362" s="59">
        <f>[2]Base!EH362</f>
        <v>0.58761211359542875</v>
      </c>
      <c r="R362" s="59">
        <f>[2]Base!EJ362</f>
        <v>0.3110162628928631</v>
      </c>
      <c r="S362" s="60">
        <f>[2]Base!EL362</f>
        <v>3.6829079765686827E-3</v>
      </c>
    </row>
    <row r="363" spans="2:19" ht="13.2" x14ac:dyDescent="0.25">
      <c r="B363" s="51" t="str">
        <f>[2]Base!A363</f>
        <v>PRINER</v>
      </c>
      <c r="C363" s="52" t="str">
        <f>[2]Base!C363</f>
        <v>NM</v>
      </c>
      <c r="D363" s="52" t="str">
        <f>[2]Base!EQ363</f>
        <v>Serviços Diversos</v>
      </c>
      <c r="E363" s="52" t="str">
        <f>[2]Base!M363</f>
        <v>XP Investimentos</v>
      </c>
      <c r="F363" s="52" t="str">
        <f>[2]Base!F363</f>
        <v>IPO</v>
      </c>
      <c r="G363" s="52" t="str">
        <f>[2]Base!G363</f>
        <v>ICVM 400</v>
      </c>
      <c r="H363" s="53">
        <f>[2]Base!X363</f>
        <v>43874</v>
      </c>
      <c r="I363" s="54">
        <f>[2]Base!W363</f>
        <v>10</v>
      </c>
      <c r="J363" s="55">
        <f>[2]Base!J363</f>
        <v>43878</v>
      </c>
      <c r="K363" s="114">
        <f>[2]Base!BL363</f>
        <v>9671</v>
      </c>
      <c r="L363" s="114">
        <f>[2]Base!DZ363</f>
        <v>9909</v>
      </c>
      <c r="M363" s="57">
        <f>[2]Base!AO363</f>
        <v>173913040</v>
      </c>
      <c r="N363" s="57">
        <f>[2]Base!AP363</f>
        <v>26086950</v>
      </c>
      <c r="O363" s="58">
        <f>[2]Base!AQ363</f>
        <v>199999990</v>
      </c>
      <c r="P363" s="59">
        <f>[2]Base!EF363</f>
        <v>0.38039636901981844</v>
      </c>
      <c r="Q363" s="59">
        <f>[2]Base!EH363</f>
        <v>0.56562192828109636</v>
      </c>
      <c r="R363" s="59">
        <f>[2]Base!EJ363</f>
        <v>2.6556051327802567E-2</v>
      </c>
      <c r="S363" s="60">
        <f>[2]Base!EL363</f>
        <v>2.742465137123257E-2</v>
      </c>
    </row>
    <row r="364" spans="2:19" ht="13.2" x14ac:dyDescent="0.25">
      <c r="B364" s="51" t="str">
        <f>[2]Base!A364</f>
        <v>ESTAPAR</v>
      </c>
      <c r="C364" s="52" t="str">
        <f>[2]Base!C364</f>
        <v>NM</v>
      </c>
      <c r="D364" s="52" t="str">
        <f>[2]Base!EQ364</f>
        <v>Serviços Diversos</v>
      </c>
      <c r="E364" s="52" t="str">
        <f>[2]Base!M364</f>
        <v>BTG Pactual</v>
      </c>
      <c r="F364" s="52" t="str">
        <f>[2]Base!F364</f>
        <v>IPO</v>
      </c>
      <c r="G364" s="52" t="str">
        <f>[2]Base!G364</f>
        <v>ICVM 400</v>
      </c>
      <c r="H364" s="53">
        <f>[2]Base!X364</f>
        <v>43964</v>
      </c>
      <c r="I364" s="54">
        <f>[2]Base!W364</f>
        <v>10.5</v>
      </c>
      <c r="J364" s="55">
        <f>[2]Base!J364</f>
        <v>43966</v>
      </c>
      <c r="K364" s="114">
        <f>[2]Base!BL364</f>
        <v>1104</v>
      </c>
      <c r="L364" s="114">
        <f>[2]Base!DZ364</f>
        <v>1178</v>
      </c>
      <c r="M364" s="57">
        <f>[2]Base!AO364</f>
        <v>300300000</v>
      </c>
      <c r="N364" s="57">
        <f>[2]Base!AP364</f>
        <v>0</v>
      </c>
      <c r="O364" s="58">
        <f>[2]Base!AQ364</f>
        <v>300300000</v>
      </c>
      <c r="P364" s="59">
        <f>[2]Base!EF364</f>
        <v>9.9578321678321674E-2</v>
      </c>
      <c r="Q364" s="59">
        <f>[2]Base!EH364</f>
        <v>0.43811605351170568</v>
      </c>
      <c r="R364" s="59">
        <f>[2]Base!EJ364</f>
        <v>6.0833079963514745E-2</v>
      </c>
      <c r="S364" s="60">
        <f>[2]Base!EL364</f>
        <v>0.40147254484645789</v>
      </c>
    </row>
    <row r="365" spans="2:19" ht="13.2" x14ac:dyDescent="0.25">
      <c r="B365" s="51" t="str">
        <f>[2]Base!A365</f>
        <v>CENTAURO</v>
      </c>
      <c r="C365" s="52" t="str">
        <f>[2]Base!C365</f>
        <v>NM</v>
      </c>
      <c r="D365" s="52" t="str">
        <f>[2]Base!EQ365</f>
        <v>Produtos Diversos</v>
      </c>
      <c r="E365" s="52" t="str">
        <f>[2]Base!M365</f>
        <v>Bradesco BBI</v>
      </c>
      <c r="F365" s="52" t="str">
        <f>[2]Base!F365</f>
        <v>FOLLOW-ON</v>
      </c>
      <c r="G365" s="52" t="str">
        <f>[2]Base!G365</f>
        <v>ICVM 476</v>
      </c>
      <c r="H365" s="53">
        <f>[2]Base!X365</f>
        <v>43977</v>
      </c>
      <c r="I365" s="54">
        <f>[2]Base!W365</f>
        <v>30</v>
      </c>
      <c r="J365" s="55">
        <f>[2]Base!J365</f>
        <v>43990</v>
      </c>
      <c r="K365" s="114">
        <f>[2]Base!BL365</f>
        <v>344</v>
      </c>
      <c r="L365" s="114">
        <f>[2]Base!DZ365</f>
        <v>770</v>
      </c>
      <c r="M365" s="57">
        <f>[2]Base!AO365</f>
        <v>900000000</v>
      </c>
      <c r="N365" s="57">
        <f>[2]Base!AP365</f>
        <v>0</v>
      </c>
      <c r="O365" s="58">
        <f>[2]Base!AQ365</f>
        <v>900000000</v>
      </c>
      <c r="P365" s="59">
        <f>[2]Base!EF365</f>
        <v>2.1158333333333333E-3</v>
      </c>
      <c r="Q365" s="59">
        <f>[2]Base!EH365</f>
        <v>0.67652143333333337</v>
      </c>
      <c r="R365" s="59">
        <f>[2]Base!EJ365</f>
        <v>0.31601646666666666</v>
      </c>
      <c r="S365" s="60">
        <f>[2]Base!EL365</f>
        <v>5.3462666666666669E-3</v>
      </c>
    </row>
    <row r="366" spans="2:19" ht="13.2" x14ac:dyDescent="0.25">
      <c r="B366" s="51" t="str">
        <f>[2]Base!A366</f>
        <v>VIAVAREJO</v>
      </c>
      <c r="C366" s="52" t="str">
        <f>[2]Base!C366</f>
        <v>NM</v>
      </c>
      <c r="D366" s="52" t="str">
        <f>[2]Base!EQ366</f>
        <v>Eletrodomésticos</v>
      </c>
      <c r="E366" s="52" t="str">
        <f>[2]Base!M366</f>
        <v>Bradesco BBI</v>
      </c>
      <c r="F366" s="52" t="str">
        <f>[2]Base!F366</f>
        <v>FOLLOW-ON</v>
      </c>
      <c r="G366" s="52" t="str">
        <f>[2]Base!G366</f>
        <v>ICVM 476</v>
      </c>
      <c r="H366" s="53">
        <f>[2]Base!X366</f>
        <v>43997</v>
      </c>
      <c r="I366" s="54">
        <f>[2]Base!W366</f>
        <v>15</v>
      </c>
      <c r="J366" s="55">
        <f>[2]Base!J366</f>
        <v>43999</v>
      </c>
      <c r="K366" s="114">
        <f>[2]Base!BL366</f>
        <v>0</v>
      </c>
      <c r="L366" s="114">
        <f>[2]Base!DZ366</f>
        <v>14556</v>
      </c>
      <c r="M366" s="57">
        <f>[2]Base!AO366</f>
        <v>4455000000</v>
      </c>
      <c r="N366" s="57">
        <f>[2]Base!AP366</f>
        <v>0</v>
      </c>
      <c r="O366" s="58">
        <f>[2]Base!AQ366</f>
        <v>4455000000</v>
      </c>
      <c r="P366" s="59">
        <f>[2]Base!EF366</f>
        <v>7.9124579124579126E-5</v>
      </c>
      <c r="Q366" s="59">
        <f>[2]Base!EH366</f>
        <v>0.4090659158249158</v>
      </c>
      <c r="R366" s="59">
        <f>[2]Base!EJ366</f>
        <v>0.27761075084175085</v>
      </c>
      <c r="S366" s="60">
        <f>[2]Base!EL366</f>
        <v>0.31324420875420877</v>
      </c>
    </row>
    <row r="367" spans="2:19" ht="13.2" x14ac:dyDescent="0.25">
      <c r="B367" s="51" t="str">
        <f>[2]Base!A367</f>
        <v>BTGP BANCO</v>
      </c>
      <c r="C367" s="52" t="str">
        <f>[2]Base!C367</f>
        <v>N2</v>
      </c>
      <c r="D367" s="52" t="str">
        <f>[2]Base!EQ367</f>
        <v>Bancos</v>
      </c>
      <c r="E367" s="52" t="str">
        <f>[2]Base!M367</f>
        <v>BTG Pactual</v>
      </c>
      <c r="F367" s="52" t="str">
        <f>[2]Base!F367</f>
        <v>FOLLOW-ON</v>
      </c>
      <c r="G367" s="52" t="str">
        <f>[2]Base!G367</f>
        <v>ICVM 476</v>
      </c>
      <c r="H367" s="53">
        <f>[2]Base!X367</f>
        <v>44011</v>
      </c>
      <c r="I367" s="54">
        <f>[2]Base!W367</f>
        <v>24.8</v>
      </c>
      <c r="J367" s="55">
        <f>[2]Base!J367</f>
        <v>44013</v>
      </c>
      <c r="K367" s="114">
        <f>[2]Base!BL367</f>
        <v>0</v>
      </c>
      <c r="L367" s="114">
        <f>[2]Base!DZ367</f>
        <v>2556</v>
      </c>
      <c r="M367" s="57">
        <f>[2]Base!AO367</f>
        <v>2650500000</v>
      </c>
      <c r="N367" s="57">
        <f>[2]Base!AP367</f>
        <v>0</v>
      </c>
      <c r="O367" s="58">
        <f>[2]Base!AQ367</f>
        <v>2650500000</v>
      </c>
      <c r="P367" s="59">
        <f>[2]Base!EF367</f>
        <v>8.1403508771929825E-5</v>
      </c>
      <c r="Q367" s="59">
        <f>[2]Base!EH367</f>
        <v>0.48391056842105268</v>
      </c>
      <c r="R367" s="59">
        <f>[2]Base!EJ367</f>
        <v>0.1185880701754386</v>
      </c>
      <c r="S367" s="60">
        <f>[2]Base!EL367</f>
        <v>0.39741995789473683</v>
      </c>
    </row>
    <row r="368" spans="2:19" ht="13.2" x14ac:dyDescent="0.25">
      <c r="B368" s="51" t="str">
        <f>[2]Base!A368</f>
        <v>AURA 360</v>
      </c>
      <c r="C368" s="52" t="str">
        <f>[2]Base!C368</f>
        <v>BDR</v>
      </c>
      <c r="D368" s="52" t="str">
        <f>[2]Base!EQ368</f>
        <v>Minerais Metálicos</v>
      </c>
      <c r="E368" s="52" t="str">
        <f>[2]Base!M368</f>
        <v>Credit Suisse</v>
      </c>
      <c r="F368" s="52" t="str">
        <f>[2]Base!F368</f>
        <v>IPO</v>
      </c>
      <c r="G368" s="52" t="str">
        <f>[2]Base!G368</f>
        <v>ICVM 476</v>
      </c>
      <c r="H368" s="53">
        <f>[2]Base!X368</f>
        <v>44014</v>
      </c>
      <c r="I368" s="54">
        <f>[2]Base!W368</f>
        <v>820</v>
      </c>
      <c r="J368" s="55">
        <f>[2]Base!J368</f>
        <v>44018</v>
      </c>
      <c r="K368" s="114">
        <f>[2]Base!BL368</f>
        <v>0</v>
      </c>
      <c r="L368" s="114">
        <f>[2]Base!DZ368</f>
        <v>120</v>
      </c>
      <c r="M368" s="57">
        <f>[2]Base!AO368</f>
        <v>301753440</v>
      </c>
      <c r="N368" s="57">
        <f>[2]Base!AP368</f>
        <v>560739780</v>
      </c>
      <c r="O368" s="58">
        <f>[2]Base!AQ368</f>
        <v>862493220</v>
      </c>
      <c r="P368" s="59">
        <f>[2]Base!EF368</f>
        <v>1.8064872764584901E-4</v>
      </c>
      <c r="Q368" s="59">
        <f>[2]Base!EH368</f>
        <v>0.81068826261989435</v>
      </c>
      <c r="R368" s="59">
        <f>[2]Base!EJ368</f>
        <v>0.18482261649810636</v>
      </c>
      <c r="S368" s="60">
        <f>[2]Base!EL368</f>
        <v>4.3355694635003762E-3</v>
      </c>
    </row>
    <row r="369" spans="2:19" ht="13.2" x14ac:dyDescent="0.25">
      <c r="B369" s="51" t="str">
        <f>[2]Base!A369</f>
        <v>JHSF PART</v>
      </c>
      <c r="C369" s="52" t="str">
        <f>[2]Base!C369</f>
        <v>NM</v>
      </c>
      <c r="D369" s="52" t="str">
        <f>[2]Base!EQ369</f>
        <v>Incorporações</v>
      </c>
      <c r="E369" s="52" t="str">
        <f>[2]Base!M369</f>
        <v>BTG Pactual</v>
      </c>
      <c r="F369" s="52" t="str">
        <f>[2]Base!F369</f>
        <v>FOLLOW-ON</v>
      </c>
      <c r="G369" s="52" t="str">
        <f>[2]Base!G369</f>
        <v>ICVM 476</v>
      </c>
      <c r="H369" s="53">
        <f>[2]Base!X369</f>
        <v>44027</v>
      </c>
      <c r="I369" s="54">
        <f>[2]Base!W369</f>
        <v>9.75</v>
      </c>
      <c r="J369" s="55">
        <f>[2]Base!J369</f>
        <v>44029</v>
      </c>
      <c r="K369" s="114">
        <f>[2]Base!BL369</f>
        <v>0</v>
      </c>
      <c r="L369" s="114">
        <f>[2]Base!DZ369</f>
        <v>2687</v>
      </c>
      <c r="M369" s="57">
        <f>[2]Base!AO369</f>
        <v>399750000</v>
      </c>
      <c r="N369" s="57">
        <f>[2]Base!AP369</f>
        <v>33422512.5</v>
      </c>
      <c r="O369" s="58">
        <f>[2]Base!AQ369</f>
        <v>433172512.5</v>
      </c>
      <c r="P369" s="59">
        <f>[2]Base!EF369</f>
        <v>0</v>
      </c>
      <c r="Q369" s="59">
        <f>[2]Base!EH369</f>
        <v>0.84487560195777656</v>
      </c>
      <c r="R369" s="59">
        <f>[2]Base!EJ369</f>
        <v>0.10616150418824186</v>
      </c>
      <c r="S369" s="60">
        <f>[2]Base!EL369</f>
        <v>4.8962893853981559E-2</v>
      </c>
    </row>
    <row r="370" spans="2:19" ht="13.2" x14ac:dyDescent="0.25">
      <c r="B370" s="51" t="str">
        <f>[2]Base!A370</f>
        <v xml:space="preserve">LOJAS AMERIC 4 </v>
      </c>
      <c r="C370" s="52" t="str">
        <f>[2]Base!C370</f>
        <v>N1</v>
      </c>
      <c r="D370" s="52" t="str">
        <f>[2]Base!EQ370</f>
        <v>Produtos Diversos</v>
      </c>
      <c r="E370" s="52" t="str">
        <f>[2]Base!M370</f>
        <v>BTG Pactual</v>
      </c>
      <c r="F370" s="52" t="str">
        <f>[2]Base!F370</f>
        <v>FOLLOW-ON</v>
      </c>
      <c r="G370" s="52" t="str">
        <f>[2]Base!G370</f>
        <v>ICVM 476</v>
      </c>
      <c r="H370" s="53">
        <f>[2]Base!X370</f>
        <v>44026</v>
      </c>
      <c r="I370" s="54">
        <f>[2]Base!W370</f>
        <v>32.402222222222221</v>
      </c>
      <c r="J370" s="55">
        <f>[2]Base!J370</f>
        <v>44028</v>
      </c>
      <c r="K370" s="114">
        <f>[2]Base!BL370</f>
        <v>0</v>
      </c>
      <c r="L370" s="114">
        <f>[2]Base!DZ370</f>
        <v>2073</v>
      </c>
      <c r="M370" s="57">
        <f>[2]Base!AO370</f>
        <v>7873740000</v>
      </c>
      <c r="N370" s="57">
        <f>[2]Base!AP370</f>
        <v>0</v>
      </c>
      <c r="O370" s="58">
        <f>[2]Base!AQ370</f>
        <v>7873740000</v>
      </c>
      <c r="P370" s="59">
        <f>[2]Base!EF370</f>
        <v>0</v>
      </c>
      <c r="Q370" s="59">
        <f>[2]Base!EH370</f>
        <v>0.3546143251028806</v>
      </c>
      <c r="R370" s="59">
        <f>[2]Base!EJ370</f>
        <v>0.18156418930041152</v>
      </c>
      <c r="S370" s="60">
        <f>[2]Base!EL370</f>
        <v>0.46382148559670777</v>
      </c>
    </row>
    <row r="371" spans="2:19" ht="13.2" x14ac:dyDescent="0.25">
      <c r="B371" s="51" t="str">
        <f>[2]Base!A371</f>
        <v>AMBIPAR</v>
      </c>
      <c r="C371" s="52" t="str">
        <f>[2]Base!C371</f>
        <v>NM</v>
      </c>
      <c r="D371" s="52" t="str">
        <f>[2]Base!EQ371</f>
        <v>Água e Saneamento</v>
      </c>
      <c r="E371" s="52" t="str">
        <f>[2]Base!M371</f>
        <v>Bradesco BBI</v>
      </c>
      <c r="F371" s="52" t="str">
        <f>[2]Base!F371</f>
        <v>IPO</v>
      </c>
      <c r="G371" s="52" t="str">
        <f>[2]Base!G371</f>
        <v>ICVM 400</v>
      </c>
      <c r="H371" s="53">
        <f>[2]Base!X371</f>
        <v>44021</v>
      </c>
      <c r="I371" s="54">
        <f>[2]Base!W371</f>
        <v>24.75</v>
      </c>
      <c r="J371" s="55">
        <f>[2]Base!J371</f>
        <v>44025</v>
      </c>
      <c r="K371" s="114">
        <f>[2]Base!BL371</f>
        <v>5287</v>
      </c>
      <c r="L371" s="114">
        <f>[2]Base!DZ371</f>
        <v>5798</v>
      </c>
      <c r="M371" s="57">
        <f>[2]Base!AO371</f>
        <v>1082400016.5</v>
      </c>
      <c r="N371" s="57">
        <f>[2]Base!AP371</f>
        <v>0</v>
      </c>
      <c r="O371" s="58">
        <f>[2]Base!AQ371</f>
        <v>1082400016.5</v>
      </c>
      <c r="P371" s="59">
        <f>[2]Base!EF371</f>
        <v>9.7165676872474432E-2</v>
      </c>
      <c r="Q371" s="59">
        <f>[2]Base!EH371</f>
        <v>0.59682831407273906</v>
      </c>
      <c r="R371" s="59">
        <f>[2]Base!EJ371</f>
        <v>0.30303731245369953</v>
      </c>
      <c r="S371" s="60">
        <f>[2]Base!EL371</f>
        <v>2.9686966010869422E-3</v>
      </c>
    </row>
    <row r="372" spans="2:19" ht="13.2" x14ac:dyDescent="0.25">
      <c r="B372" s="51" t="str">
        <f>[2]Base!A372</f>
        <v>IMC S/A</v>
      </c>
      <c r="C372" s="52" t="str">
        <f>[2]Base!C372</f>
        <v>NM</v>
      </c>
      <c r="D372" s="52" t="str">
        <f>[2]Base!EQ372</f>
        <v>Restaurante e Similares</v>
      </c>
      <c r="E372" s="52" t="str">
        <f>[2]Base!M372</f>
        <v>BTG Pactual</v>
      </c>
      <c r="F372" s="52" t="str">
        <f>[2]Base!F372</f>
        <v>FOLLOW-ON</v>
      </c>
      <c r="G372" s="52" t="str">
        <f>[2]Base!G372</f>
        <v>ICVM 476</v>
      </c>
      <c r="H372" s="53">
        <f>[2]Base!X372</f>
        <v>44033</v>
      </c>
      <c r="I372" s="54">
        <f>[2]Base!W372</f>
        <v>4.25</v>
      </c>
      <c r="J372" s="55">
        <f>[2]Base!J372</f>
        <v>44035</v>
      </c>
      <c r="K372" s="114">
        <f>[2]Base!BL372</f>
        <v>0</v>
      </c>
      <c r="L372" s="114">
        <f>[2]Base!DZ372</f>
        <v>1766</v>
      </c>
      <c r="M372" s="57">
        <f>[2]Base!AO372</f>
        <v>384412500</v>
      </c>
      <c r="N372" s="57">
        <f>[2]Base!AP372</f>
        <v>0</v>
      </c>
      <c r="O372" s="58">
        <f>[2]Base!AQ372</f>
        <v>384412500</v>
      </c>
      <c r="P372" s="59">
        <f>[2]Base!EF372</f>
        <v>0</v>
      </c>
      <c r="Q372" s="59">
        <f>[2]Base!EH372</f>
        <v>0.71300042012161413</v>
      </c>
      <c r="R372" s="59">
        <f>[2]Base!EJ372</f>
        <v>9.4527363184079602E-2</v>
      </c>
      <c r="S372" s="60">
        <f>[2]Base!EL372</f>
        <v>0.19247221669430625</v>
      </c>
    </row>
    <row r="373" spans="2:19" ht="13.2" x14ac:dyDescent="0.25">
      <c r="B373" s="51" t="str">
        <f>[2]Base!A373</f>
        <v>IRANI</v>
      </c>
      <c r="C373" s="52" t="str">
        <f>[2]Base!C373</f>
        <v>BÁSICO</v>
      </c>
      <c r="D373" s="52" t="str">
        <f>[2]Base!EQ373</f>
        <v>Papel e Celulose</v>
      </c>
      <c r="E373" s="52" t="str">
        <f>[2]Base!M373</f>
        <v>BTG Pactual</v>
      </c>
      <c r="F373" s="52" t="str">
        <f>[2]Base!F373</f>
        <v>FOLLOW-ON</v>
      </c>
      <c r="G373" s="52" t="str">
        <f>[2]Base!G373</f>
        <v>ICVM 476</v>
      </c>
      <c r="H373" s="53">
        <f>[2]Base!X373</f>
        <v>44034</v>
      </c>
      <c r="I373" s="54">
        <f>[2]Base!W373</f>
        <v>4.5</v>
      </c>
      <c r="J373" s="55">
        <f>[2]Base!J373</f>
        <v>44036</v>
      </c>
      <c r="K373" s="114">
        <f>[2]Base!BL373</f>
        <v>0</v>
      </c>
      <c r="L373" s="114">
        <f>[2]Base!DZ373</f>
        <v>105</v>
      </c>
      <c r="M373" s="57">
        <f>[2]Base!AO373</f>
        <v>405000000</v>
      </c>
      <c r="N373" s="57">
        <f>[2]Base!AP373</f>
        <v>0</v>
      </c>
      <c r="O373" s="58">
        <f>[2]Base!AQ373</f>
        <v>405000000</v>
      </c>
      <c r="P373" s="59">
        <f>[2]Base!EF373</f>
        <v>4.4944444444444441E-3</v>
      </c>
      <c r="Q373" s="59">
        <f>[2]Base!EH373</f>
        <v>0.76062677777777776</v>
      </c>
      <c r="R373" s="59">
        <f>[2]Base!EJ373</f>
        <v>0.23</v>
      </c>
      <c r="S373" s="60">
        <f>[2]Base!EL373</f>
        <v>4.8787777777777779E-3</v>
      </c>
    </row>
    <row r="374" spans="2:19" ht="13.2" x14ac:dyDescent="0.25">
      <c r="B374" s="51" t="str">
        <f>[2]Base!A374</f>
        <v>DIMED</v>
      </c>
      <c r="C374" s="52" t="str">
        <f>[2]Base!C374</f>
        <v>BÁSICO</v>
      </c>
      <c r="D374" s="52" t="str">
        <f>[2]Base!EQ374</f>
        <v>Medicamentos e Outros Produtos</v>
      </c>
      <c r="E374" s="52" t="str">
        <f>[2]Base!M374</f>
        <v>Bradesco BBI</v>
      </c>
      <c r="F374" s="52" t="str">
        <f>[2]Base!F374</f>
        <v>FOLLOW-ON</v>
      </c>
      <c r="G374" s="52" t="str">
        <f>[2]Base!G374</f>
        <v>ICVM 476</v>
      </c>
      <c r="H374" s="53">
        <f>[2]Base!X374</f>
        <v>44034</v>
      </c>
      <c r="I374" s="54">
        <f>[2]Base!W374</f>
        <v>30</v>
      </c>
      <c r="J374" s="55">
        <f>[2]Base!J374</f>
        <v>44036</v>
      </c>
      <c r="K374" s="114">
        <f>[2]Base!BL374</f>
        <v>0</v>
      </c>
      <c r="L374" s="114">
        <f>[2]Base!DZ374</f>
        <v>809</v>
      </c>
      <c r="M374" s="57">
        <f>[2]Base!AO374</f>
        <v>480000000</v>
      </c>
      <c r="N374" s="57">
        <f>[2]Base!AP374</f>
        <v>556713360</v>
      </c>
      <c r="O374" s="58">
        <f>[2]Base!AQ374</f>
        <v>1036713360</v>
      </c>
      <c r="P374" s="59">
        <f>[2]Base!EF374</f>
        <v>0</v>
      </c>
      <c r="Q374" s="59">
        <f>[2]Base!EH374</f>
        <v>0.5578050040755721</v>
      </c>
      <c r="R374" s="59">
        <f>[2]Base!EJ374</f>
        <v>0.41091396757923521</v>
      </c>
      <c r="S374" s="60">
        <f>[2]Base!EL374</f>
        <v>3.1281028345192738E-2</v>
      </c>
    </row>
    <row r="375" spans="2:19" ht="13.2" x14ac:dyDescent="0.25">
      <c r="B375" s="51" t="str">
        <f>[2]Base!A375</f>
        <v>GRUPO SOMA</v>
      </c>
      <c r="C375" s="52" t="str">
        <f>[2]Base!C375</f>
        <v>NM</v>
      </c>
      <c r="D375" s="52" t="str">
        <f>[2]Base!EQ375</f>
        <v>Tecidos. Vestuário e Calçados</v>
      </c>
      <c r="E375" s="52" t="str">
        <f>[2]Base!M375</f>
        <v>Itaú BBA</v>
      </c>
      <c r="F375" s="52" t="str">
        <f>[2]Base!F375</f>
        <v>IPO</v>
      </c>
      <c r="G375" s="52" t="str">
        <f>[2]Base!G375</f>
        <v>ICVM 400</v>
      </c>
      <c r="H375" s="53">
        <f>[2]Base!X375</f>
        <v>44041</v>
      </c>
      <c r="I375" s="54">
        <f>[2]Base!W375</f>
        <v>9.9</v>
      </c>
      <c r="J375" s="55">
        <f>[2]Base!J375</f>
        <v>44043</v>
      </c>
      <c r="K375" s="114">
        <f>[2]Base!BL375</f>
        <v>6726</v>
      </c>
      <c r="L375" s="114">
        <f>[2]Base!DZ375</f>
        <v>7229</v>
      </c>
      <c r="M375" s="57">
        <f>[2]Base!AO375</f>
        <v>1349999996.4000001</v>
      </c>
      <c r="N375" s="57">
        <f>[2]Base!AP375</f>
        <v>472499992.80000001</v>
      </c>
      <c r="O375" s="58">
        <f>[2]Base!AQ375</f>
        <v>1822499989.2</v>
      </c>
      <c r="P375" s="59">
        <f>[2]Base!EF375</f>
        <v>0.13093826447963416</v>
      </c>
      <c r="Q375" s="59">
        <f>[2]Base!EH375</f>
        <v>0.71711512227426233</v>
      </c>
      <c r="R375" s="59">
        <f>[2]Base!EJ375</f>
        <v>0.14826382408847699</v>
      </c>
      <c r="S375" s="60">
        <f>[2]Base!EL375</f>
        <v>3.6827891576264051E-3</v>
      </c>
    </row>
    <row r="376" spans="2:19" ht="13.2" x14ac:dyDescent="0.25">
      <c r="B376" s="51" t="str">
        <f>[2]Base!A376</f>
        <v>D1000VFARMA</v>
      </c>
      <c r="C376" s="52" t="str">
        <f>[2]Base!C376</f>
        <v>NM</v>
      </c>
      <c r="D376" s="52" t="str">
        <f>[2]Base!EQ376</f>
        <v>Medicamentos e Outros Produtos</v>
      </c>
      <c r="E376" s="52" t="str">
        <f>[2]Base!M376</f>
        <v>XP Investimentos</v>
      </c>
      <c r="F376" s="52" t="str">
        <f>[2]Base!F376</f>
        <v>IPO</v>
      </c>
      <c r="G376" s="52" t="str">
        <f>[2]Base!G376</f>
        <v>ICVM 400</v>
      </c>
      <c r="H376" s="53">
        <f>[2]Base!X376</f>
        <v>44049</v>
      </c>
      <c r="I376" s="54">
        <f>[2]Base!W376</f>
        <v>17</v>
      </c>
      <c r="J376" s="55">
        <f>[2]Base!J376</f>
        <v>44053</v>
      </c>
      <c r="K376" s="114">
        <f>[2]Base!BL376</f>
        <v>6213</v>
      </c>
      <c r="L376" s="114">
        <f>[2]Base!DZ376</f>
        <v>6526</v>
      </c>
      <c r="M376" s="57">
        <f>[2]Base!AO376</f>
        <v>400115485</v>
      </c>
      <c r="N376" s="57">
        <f>[2]Base!AP376</f>
        <v>0</v>
      </c>
      <c r="O376" s="58">
        <f>[2]Base!AQ376</f>
        <v>400115485</v>
      </c>
      <c r="P376" s="59">
        <f>[2]Base!EF376</f>
        <v>0.31911968369913735</v>
      </c>
      <c r="Q376" s="59">
        <f>[2]Base!EH376</f>
        <v>0.59082652867635743</v>
      </c>
      <c r="R376" s="59">
        <f>[2]Base!EJ376</f>
        <v>6.9918443870100586E-2</v>
      </c>
      <c r="S376" s="60">
        <f>[2]Base!EL376</f>
        <v>2.0135343754404639E-2</v>
      </c>
    </row>
    <row r="377" spans="2:19" ht="13.2" x14ac:dyDescent="0.25">
      <c r="B377" s="51" t="str">
        <f>[2]Base!A377</f>
        <v>QUERO-QUERO</v>
      </c>
      <c r="C377" s="52" t="str">
        <f>[2]Base!C377</f>
        <v>NM</v>
      </c>
      <c r="D377" s="52" t="str">
        <f>[2]Base!EQ377</f>
        <v>Produtos Diversos</v>
      </c>
      <c r="E377" s="52" t="str">
        <f>[2]Base!M377</f>
        <v>BTG Pactual</v>
      </c>
      <c r="F377" s="52" t="str">
        <f>[2]Base!F377</f>
        <v>IPO</v>
      </c>
      <c r="G377" s="52" t="str">
        <f>[2]Base!G377</f>
        <v>ICVM 400</v>
      </c>
      <c r="H377" s="53">
        <f>[2]Base!X377</f>
        <v>44049</v>
      </c>
      <c r="I377" s="54">
        <f>[2]Base!W377</f>
        <v>12.65</v>
      </c>
      <c r="J377" s="55">
        <f>[2]Base!J377</f>
        <v>44053</v>
      </c>
      <c r="K377" s="114">
        <f>[2]Base!BL377</f>
        <v>10049</v>
      </c>
      <c r="L377" s="114">
        <f>[2]Base!DZ377</f>
        <v>10844</v>
      </c>
      <c r="M377" s="57">
        <f>[2]Base!AO377</f>
        <v>279867259.10000002</v>
      </c>
      <c r="N377" s="57">
        <f>[2]Base!AP377</f>
        <v>1951899022.7</v>
      </c>
      <c r="O377" s="58">
        <f>[2]Base!AQ377</f>
        <v>2231766281.8000002</v>
      </c>
      <c r="P377" s="59">
        <f>[2]Base!EF377</f>
        <v>9.8577852794944049E-2</v>
      </c>
      <c r="Q377" s="59">
        <f>[2]Base!EH377</f>
        <v>0.54763831395205553</v>
      </c>
      <c r="R377" s="59">
        <f>[2]Base!EJ377</f>
        <v>0.34977499573584603</v>
      </c>
      <c r="S377" s="60">
        <f>[2]Base!EL377</f>
        <v>4.0088375171543926E-3</v>
      </c>
    </row>
    <row r="378" spans="2:19" ht="13.2" x14ac:dyDescent="0.25">
      <c r="B378" s="51" t="str">
        <f>[2]Base!A378</f>
        <v>RUMO S.A.</v>
      </c>
      <c r="C378" s="52" t="str">
        <f>[2]Base!C378</f>
        <v>NM</v>
      </c>
      <c r="D378" s="52" t="str">
        <f>[2]Base!EQ378</f>
        <v>Transporte Ferroviário</v>
      </c>
      <c r="E378" s="52" t="str">
        <f>[2]Base!M378</f>
        <v>Bradesco BBI</v>
      </c>
      <c r="F378" s="52" t="str">
        <f>[2]Base!F378</f>
        <v>FOLLOW-ON</v>
      </c>
      <c r="G378" s="52" t="str">
        <f>[2]Base!G378</f>
        <v>ICVM 476</v>
      </c>
      <c r="H378" s="53">
        <f>[2]Base!X378</f>
        <v>44067</v>
      </c>
      <c r="I378" s="54">
        <f>[2]Base!W378</f>
        <v>21.75</v>
      </c>
      <c r="J378" s="55">
        <f>[2]Base!J378</f>
        <v>44069</v>
      </c>
      <c r="K378" s="114">
        <f>[2]Base!BL378</f>
        <v>0</v>
      </c>
      <c r="L378" s="114">
        <f>[2]Base!DZ378</f>
        <v>2532</v>
      </c>
      <c r="M378" s="57">
        <f>[2]Base!AO378</f>
        <v>6400000009.5</v>
      </c>
      <c r="N378" s="57">
        <f>[2]Base!AP378</f>
        <v>0</v>
      </c>
      <c r="O378" s="58">
        <f>[2]Base!AQ378</f>
        <v>6400000009.5</v>
      </c>
      <c r="P378" s="59">
        <f>[2]Base!EF378</f>
        <v>0</v>
      </c>
      <c r="Q378" s="59">
        <f>[2]Base!EH378</f>
        <v>0.18270018324442941</v>
      </c>
      <c r="R378" s="59">
        <f>[2]Base!EJ378</f>
        <v>0.17226679661929148</v>
      </c>
      <c r="S378" s="60">
        <f>[2]Base!EL378</f>
        <v>0.64503302013627906</v>
      </c>
    </row>
    <row r="379" spans="2:19" ht="13.2" x14ac:dyDescent="0.25">
      <c r="B379" s="51" t="str">
        <f>[2]Base!A379</f>
        <v>BANCO INTER</v>
      </c>
      <c r="C379" s="52" t="str">
        <f>[2]Base!C379</f>
        <v>N2</v>
      </c>
      <c r="D379" s="52" t="str">
        <f>[2]Base!EQ379</f>
        <v>Bancos</v>
      </c>
      <c r="E379" s="52" t="str">
        <f>[2]Base!M379</f>
        <v>Bradesco BBI</v>
      </c>
      <c r="F379" s="52" t="str">
        <f>[2]Base!F379</f>
        <v>FOLLOW-ON</v>
      </c>
      <c r="G379" s="52" t="str">
        <f>[2]Base!G379</f>
        <v>ICVM 476</v>
      </c>
      <c r="H379" s="53">
        <f>[2]Base!X379</f>
        <v>44077</v>
      </c>
      <c r="I379" s="54">
        <f>[2]Base!W379</f>
        <v>20.83</v>
      </c>
      <c r="J379" s="55">
        <f>[2]Base!J379</f>
        <v>44082</v>
      </c>
      <c r="K379" s="114">
        <f>[2]Base!BL379</f>
        <v>0</v>
      </c>
      <c r="L379" s="114">
        <f>[2]Base!DZ379</f>
        <v>802</v>
      </c>
      <c r="M379" s="57">
        <f>[2]Base!AO379</f>
        <v>1166248787</v>
      </c>
      <c r="N379" s="57">
        <f>[2]Base!AP379</f>
        <v>0</v>
      </c>
      <c r="O379" s="58">
        <f>[2]Base!AQ379</f>
        <v>1166248787</v>
      </c>
      <c r="P379" s="59">
        <f>[2]Base!EF379</f>
        <v>0</v>
      </c>
      <c r="Q379" s="59">
        <f>[2]Base!EH379</f>
        <v>0.44113518929644979</v>
      </c>
      <c r="R379" s="59">
        <f>[2]Base!EJ379</f>
        <v>0.22581022309779258</v>
      </c>
      <c r="S379" s="60">
        <f>[2]Base!EL379</f>
        <v>0.33305458760575751</v>
      </c>
    </row>
    <row r="380" spans="2:19" ht="13.2" x14ac:dyDescent="0.25">
      <c r="B380" s="51" t="str">
        <f>[2]Base!A380</f>
        <v>OMEGA GER</v>
      </c>
      <c r="C380" s="52" t="str">
        <f>[2]Base!C380</f>
        <v>NM</v>
      </c>
      <c r="D380" s="52" t="str">
        <f>[2]Base!EQ380</f>
        <v>Energia Elétrica</v>
      </c>
      <c r="E380" s="52" t="str">
        <f>[2]Base!M380</f>
        <v>Itaú BBA</v>
      </c>
      <c r="F380" s="52" t="str">
        <f>[2]Base!F380</f>
        <v>FOLLOW-ON</v>
      </c>
      <c r="G380" s="52" t="str">
        <f>[2]Base!G380</f>
        <v>ICVM 476</v>
      </c>
      <c r="H380" s="53">
        <f>[2]Base!X380</f>
        <v>44075</v>
      </c>
      <c r="I380" s="54">
        <f>[2]Base!W380</f>
        <v>38.25</v>
      </c>
      <c r="J380" s="55">
        <f>[2]Base!J380</f>
        <v>44077</v>
      </c>
      <c r="K380" s="114">
        <f>[2]Base!BL380</f>
        <v>141</v>
      </c>
      <c r="L380" s="114">
        <f>[2]Base!DZ380</f>
        <v>382</v>
      </c>
      <c r="M380" s="57">
        <f>[2]Base!AO380</f>
        <v>896963532.75</v>
      </c>
      <c r="N380" s="57">
        <f>[2]Base!AP380</f>
        <v>0</v>
      </c>
      <c r="O380" s="58">
        <f>[2]Base!AQ380</f>
        <v>896963532.75</v>
      </c>
      <c r="P380" s="59">
        <f>[2]Base!EF380</f>
        <v>4.7552184055054607E-4</v>
      </c>
      <c r="Q380" s="59">
        <f>[2]Base!EH380</f>
        <v>0.60618791611625866</v>
      </c>
      <c r="R380" s="59">
        <f>[2]Base!EJ380</f>
        <v>0.38317384453331332</v>
      </c>
      <c r="S380" s="60">
        <f>[2]Base!EL380</f>
        <v>1.0162717509877494E-2</v>
      </c>
    </row>
    <row r="381" spans="2:19" ht="13.2" x14ac:dyDescent="0.25">
      <c r="B381" s="51" t="str">
        <f>[2]Base!A381</f>
        <v>LAVVI</v>
      </c>
      <c r="C381" s="52" t="str">
        <f>[2]Base!C381</f>
        <v>NM</v>
      </c>
      <c r="D381" s="52" t="str">
        <f>[2]Base!EQ381</f>
        <v>Incorporações</v>
      </c>
      <c r="E381" s="52" t="str">
        <f>[2]Base!M381</f>
        <v>BTG Pactual</v>
      </c>
      <c r="F381" s="52" t="str">
        <f>[2]Base!F381</f>
        <v>IPO</v>
      </c>
      <c r="G381" s="52" t="str">
        <f>[2]Base!G381</f>
        <v>ICVM 400</v>
      </c>
      <c r="H381" s="53">
        <f>[2]Base!X381</f>
        <v>44074</v>
      </c>
      <c r="I381" s="54">
        <f>[2]Base!W381</f>
        <v>9.5</v>
      </c>
      <c r="J381" s="55">
        <f>[2]Base!J381</f>
        <v>44076</v>
      </c>
      <c r="K381" s="114">
        <f>[2]Base!BL381</f>
        <v>1392</v>
      </c>
      <c r="L381" s="114">
        <f>[2]Base!DZ381</f>
        <v>1633</v>
      </c>
      <c r="M381" s="57">
        <f>[2]Base!AO381</f>
        <v>1027064000</v>
      </c>
      <c r="N381" s="57">
        <f>[2]Base!AP381</f>
        <v>0</v>
      </c>
      <c r="O381" s="58">
        <f>[2]Base!AQ381</f>
        <v>1027064000</v>
      </c>
      <c r="P381" s="59">
        <f>[2]Base!EF381</f>
        <v>0.15468951282639321</v>
      </c>
      <c r="Q381" s="59">
        <f>[2]Base!EH381</f>
        <v>0.71497606722799201</v>
      </c>
      <c r="R381" s="59">
        <f>[2]Base!EJ381</f>
        <v>0.12948795170854766</v>
      </c>
      <c r="S381" s="60">
        <f>[2]Base!EL381</f>
        <v>8.4646823706712967E-4</v>
      </c>
    </row>
    <row r="382" spans="2:19" ht="13.2" x14ac:dyDescent="0.25">
      <c r="B382" s="51" t="str">
        <f>[2]Base!A382</f>
        <v>PAGUE MENOS</v>
      </c>
      <c r="C382" s="52" t="str">
        <f>[2]Base!C382</f>
        <v>NM</v>
      </c>
      <c r="D382" s="52" t="str">
        <f>[2]Base!EQ382</f>
        <v>Medicamentos e Outros Produtos</v>
      </c>
      <c r="E382" s="52" t="str">
        <f>[2]Base!M382</f>
        <v>Itaú BBA</v>
      </c>
      <c r="F382" s="52" t="str">
        <f>[2]Base!F382</f>
        <v>IPO</v>
      </c>
      <c r="G382" s="52" t="str">
        <f>[2]Base!G382</f>
        <v>ICVM 400</v>
      </c>
      <c r="H382" s="53">
        <f>[2]Base!X382</f>
        <v>44074</v>
      </c>
      <c r="I382" s="54">
        <f>[2]Base!W382</f>
        <v>8.5</v>
      </c>
      <c r="J382" s="55">
        <f>[2]Base!J382</f>
        <v>44076</v>
      </c>
      <c r="K382" s="114">
        <f>[2]Base!BL382</f>
        <v>10193</v>
      </c>
      <c r="L382" s="114">
        <f>[2]Base!DZ382</f>
        <v>10569</v>
      </c>
      <c r="M382" s="57">
        <f>[2]Base!AO382</f>
        <v>858963097</v>
      </c>
      <c r="N382" s="57">
        <f>[2]Base!AP382</f>
        <v>0</v>
      </c>
      <c r="O382" s="58">
        <f>[2]Base!AQ382</f>
        <v>858963097</v>
      </c>
      <c r="P382" s="59">
        <f>[2]Base!EF382</f>
        <v>9.5005791034582718E-2</v>
      </c>
      <c r="Q382" s="59">
        <f>[2]Base!EH382</f>
        <v>0.2850157106341904</v>
      </c>
      <c r="R382" s="59">
        <f>[2]Base!EJ382</f>
        <v>0.48223761119274255</v>
      </c>
      <c r="S382" s="60">
        <f>[2]Base!EL382</f>
        <v>0.13774088713848437</v>
      </c>
    </row>
    <row r="383" spans="2:19" ht="13.2" x14ac:dyDescent="0.25">
      <c r="B383" s="51" t="str">
        <f>[2]Base!A383</f>
        <v>BANCO PAN</v>
      </c>
      <c r="C383" s="52" t="str">
        <f>[2]Base!C383</f>
        <v>N1</v>
      </c>
      <c r="D383" s="52" t="str">
        <f>[2]Base!EQ383</f>
        <v>Bancos</v>
      </c>
      <c r="E383" s="52" t="str">
        <f>[2]Base!M383</f>
        <v>BTG Pactual</v>
      </c>
      <c r="F383" s="52" t="str">
        <f>[2]Base!F383</f>
        <v>FOLLOW-ON</v>
      </c>
      <c r="G383" s="52" t="str">
        <f>[2]Base!G383</f>
        <v>ICVM 476</v>
      </c>
      <c r="H383" s="53">
        <f>[2]Base!X383</f>
        <v>44070</v>
      </c>
      <c r="I383" s="54">
        <f>[2]Base!W383</f>
        <v>8.3000000000000007</v>
      </c>
      <c r="J383" s="55">
        <f>[2]Base!J383</f>
        <v>44074</v>
      </c>
      <c r="K383" s="114">
        <f>[2]Base!BL383</f>
        <v>0</v>
      </c>
      <c r="L383" s="114">
        <f>[2]Base!DZ383</f>
        <v>46</v>
      </c>
      <c r="M383" s="57">
        <f>[2]Base!AO383</f>
        <v>0</v>
      </c>
      <c r="N383" s="57">
        <f>[2]Base!AP383</f>
        <v>743677219.50000012</v>
      </c>
      <c r="O383" s="58">
        <f>[2]Base!AQ383</f>
        <v>743677219.50000012</v>
      </c>
      <c r="P383" s="59">
        <f>[2]Base!EF383</f>
        <v>0</v>
      </c>
      <c r="Q383" s="59">
        <f>[2]Base!EH383</f>
        <v>0.28551357865009874</v>
      </c>
      <c r="R383" s="59">
        <f>[2]Base!EJ383</f>
        <v>0.24573466876243341</v>
      </c>
      <c r="S383" s="60">
        <f>[2]Base!EL383</f>
        <v>0.46875175258746782</v>
      </c>
    </row>
    <row r="384" spans="2:19" ht="13.2" x14ac:dyDescent="0.25">
      <c r="B384" s="51" t="str">
        <f>[2]Base!A384</f>
        <v>PETZ</v>
      </c>
      <c r="C384" s="52" t="str">
        <f>[2]Base!C384</f>
        <v>NM</v>
      </c>
      <c r="D384" s="52" t="str">
        <f>[2]Base!EQ384</f>
        <v>Produtos Diversos</v>
      </c>
      <c r="E384" s="52" t="str">
        <f>[2]Base!M384</f>
        <v>Itaú BBA</v>
      </c>
      <c r="F384" s="52" t="str">
        <f>[2]Base!F384</f>
        <v>IPO</v>
      </c>
      <c r="G384" s="52" t="str">
        <f>[2]Base!G384</f>
        <v>ICVM 400</v>
      </c>
      <c r="H384" s="53">
        <f>[2]Base!X384</f>
        <v>44144</v>
      </c>
      <c r="I384" s="54">
        <f>[2]Base!W384</f>
        <v>13.75</v>
      </c>
      <c r="J384" s="55">
        <f>[2]Base!J384</f>
        <v>44085</v>
      </c>
      <c r="K384" s="114">
        <f>[2]Base!BL384</f>
        <v>37928</v>
      </c>
      <c r="L384" s="114">
        <f>[2]Base!DZ384</f>
        <v>39168</v>
      </c>
      <c r="M384" s="57">
        <f>[2]Base!AO384</f>
        <v>336734695</v>
      </c>
      <c r="N384" s="57">
        <f>[2]Base!AP384</f>
        <v>2693877532.5</v>
      </c>
      <c r="O384" s="58">
        <f>[2]Base!AQ384</f>
        <v>3030612227.5</v>
      </c>
      <c r="P384" s="59">
        <f>[2]Base!EF384</f>
        <v>0.12573764396256795</v>
      </c>
      <c r="Q384" s="59">
        <f>[2]Base!EH384</f>
        <v>0.59226017228890104</v>
      </c>
      <c r="R384" s="59">
        <f>[2]Base!EJ384</f>
        <v>0.27607715815896144</v>
      </c>
      <c r="S384" s="60">
        <f>[2]Base!EL384</f>
        <v>5.9250255895695915E-3</v>
      </c>
    </row>
    <row r="385" spans="2:19" ht="13.2" x14ac:dyDescent="0.25">
      <c r="B385" s="51" t="str">
        <f>[2]Base!A385</f>
        <v>PLANOEPLANO</v>
      </c>
      <c r="C385" s="52" t="str">
        <f>[2]Base!C385</f>
        <v>NM</v>
      </c>
      <c r="D385" s="52" t="str">
        <f>[2]Base!EQ385</f>
        <v>Incorporações</v>
      </c>
      <c r="E385" s="52" t="str">
        <f>[2]Base!M385</f>
        <v>Itaú BBA</v>
      </c>
      <c r="F385" s="52" t="str">
        <f>[2]Base!F385</f>
        <v>IPO</v>
      </c>
      <c r="G385" s="52" t="str">
        <f>[2]Base!G385</f>
        <v>ICVM 400</v>
      </c>
      <c r="H385" s="53">
        <f>[2]Base!X385</f>
        <v>44089</v>
      </c>
      <c r="I385" s="54">
        <f>[2]Base!W385</f>
        <v>9.4</v>
      </c>
      <c r="J385" s="55">
        <f>[2]Base!J385</f>
        <v>44091</v>
      </c>
      <c r="K385" s="114">
        <f>[2]Base!BL385</f>
        <v>613</v>
      </c>
      <c r="L385" s="114">
        <f>[2]Base!DZ385</f>
        <v>708</v>
      </c>
      <c r="M385" s="57">
        <f>[2]Base!AO385</f>
        <v>40006400</v>
      </c>
      <c r="N385" s="57">
        <f>[2]Base!AP385</f>
        <v>593415420</v>
      </c>
      <c r="O385" s="58">
        <f>[2]Base!AQ385</f>
        <v>633421820</v>
      </c>
      <c r="P385" s="59">
        <f>[2]Base!EF385</f>
        <v>6.2766628748918668E-2</v>
      </c>
      <c r="Q385" s="59">
        <f>[2]Base!EH385</f>
        <v>0.80233199599479599</v>
      </c>
      <c r="R385" s="59">
        <f>[2]Base!EJ385</f>
        <v>0.13486516494220382</v>
      </c>
      <c r="S385" s="60">
        <f>[2]Base!EL385</f>
        <v>3.6210314081561757E-5</v>
      </c>
    </row>
    <row r="386" spans="2:19" ht="13.2" x14ac:dyDescent="0.25">
      <c r="B386" s="51" t="str">
        <f>[2]Base!A386</f>
        <v>JSL</v>
      </c>
      <c r="C386" s="52" t="str">
        <f>[2]Base!C386</f>
        <v>NM</v>
      </c>
      <c r="D386" s="52" t="str">
        <f>[2]Base!EQ386</f>
        <v>Transporte Rodoviário</v>
      </c>
      <c r="E386" s="52" t="str">
        <f>[2]Base!M386</f>
        <v>XP Investimentos</v>
      </c>
      <c r="F386" s="52" t="str">
        <f>[2]Base!F386</f>
        <v>FOLLOW-ON</v>
      </c>
      <c r="G386" s="52" t="str">
        <f>[2]Base!G386</f>
        <v>ICVM 476</v>
      </c>
      <c r="H386" s="53">
        <f>[2]Base!X386</f>
        <v>44082</v>
      </c>
      <c r="I386" s="54">
        <f>[2]Base!W386</f>
        <v>9.6</v>
      </c>
      <c r="J386" s="55">
        <f>[2]Base!J386</f>
        <v>44084</v>
      </c>
      <c r="K386" s="114">
        <f>[2]Base!BL386</f>
        <v>1819</v>
      </c>
      <c r="L386" s="114">
        <f>[2]Base!DZ386</f>
        <v>2144</v>
      </c>
      <c r="M386" s="57">
        <f>[2]Base!AO386</f>
        <v>763020844.79999995</v>
      </c>
      <c r="N386" s="57">
        <f>[2]Base!AP386</f>
        <v>0</v>
      </c>
      <c r="O386" s="58">
        <f>[2]Base!AQ386</f>
        <v>763020844.79999995</v>
      </c>
      <c r="P386" s="59">
        <f>[2]Base!EF386</f>
        <v>1.2636702215556565E-2</v>
      </c>
      <c r="Q386" s="59">
        <f>[2]Base!EH386</f>
        <v>0.38860168659968963</v>
      </c>
      <c r="R386" s="59">
        <f>[2]Base!EJ386</f>
        <v>0.48416970534642984</v>
      </c>
      <c r="S386" s="60">
        <f>[2]Base!EL386</f>
        <v>0.11459190583832396</v>
      </c>
    </row>
    <row r="387" spans="2:19" ht="13.2" x14ac:dyDescent="0.25">
      <c r="B387" s="51" t="str">
        <f>[2]Base!A387</f>
        <v>SANTOS BRP</v>
      </c>
      <c r="C387" s="52" t="str">
        <f>[2]Base!C387</f>
        <v>NM</v>
      </c>
      <c r="D387" s="52" t="str">
        <f>[2]Base!EQ387</f>
        <v>Serviços de Apoio e Armazenagem</v>
      </c>
      <c r="E387" s="52" t="str">
        <f>[2]Base!M387</f>
        <v>BTG Pactual</v>
      </c>
      <c r="F387" s="52" t="str">
        <f>[2]Base!F387</f>
        <v>FOLLOW-ON</v>
      </c>
      <c r="G387" s="52" t="str">
        <f>[2]Base!G387</f>
        <v>ICVM 476</v>
      </c>
      <c r="H387" s="53">
        <f>[2]Base!X387</f>
        <v>44098</v>
      </c>
      <c r="I387" s="54">
        <f>[2]Base!W387</f>
        <v>4.0999999999999996</v>
      </c>
      <c r="J387" s="55">
        <f>[2]Base!J387</f>
        <v>44102</v>
      </c>
      <c r="K387" s="114">
        <f>[2]Base!BL387</f>
        <v>0</v>
      </c>
      <c r="L387" s="114">
        <f>[2]Base!DZ387</f>
        <v>2244</v>
      </c>
      <c r="M387" s="57">
        <f>[2]Base!AO387</f>
        <v>789987999.99999988</v>
      </c>
      <c r="N387" s="57">
        <f>[2]Base!AP387</f>
        <v>0</v>
      </c>
      <c r="O387" s="58">
        <f>[2]Base!AQ387</f>
        <v>789987999.99999988</v>
      </c>
      <c r="P387" s="59">
        <f>[2]Base!EF387</f>
        <v>1.9690678845754621E-3</v>
      </c>
      <c r="Q387" s="59">
        <f>[2]Base!EH387</f>
        <v>0.81119014947062495</v>
      </c>
      <c r="R387" s="59">
        <f>[2]Base!EJ387</f>
        <v>9.3107743408760657E-2</v>
      </c>
      <c r="S387" s="60">
        <f>[2]Base!EL387</f>
        <v>9.3733039236039026E-2</v>
      </c>
    </row>
    <row r="388" spans="2:19" ht="13.2" x14ac:dyDescent="0.25">
      <c r="B388" s="51" t="str">
        <f>[2]Base!A388</f>
        <v>MELNICK</v>
      </c>
      <c r="C388" s="52" t="str">
        <f>[2]Base!C388</f>
        <v>NM</v>
      </c>
      <c r="D388" s="52" t="str">
        <f>[2]Base!EQ388</f>
        <v>Incorporações</v>
      </c>
      <c r="E388" s="52" t="str">
        <f>[2]Base!M388</f>
        <v>BTG Pactual</v>
      </c>
      <c r="F388" s="52" t="str">
        <f>[2]Base!F388</f>
        <v>IPO</v>
      </c>
      <c r="G388" s="52" t="str">
        <f>[2]Base!G388</f>
        <v>ICVM 400</v>
      </c>
      <c r="H388" s="53">
        <f>[2]Base!X388</f>
        <v>44098</v>
      </c>
      <c r="I388" s="54">
        <f>[2]Base!W388</f>
        <v>8.5</v>
      </c>
      <c r="J388" s="55">
        <f>[2]Base!J388</f>
        <v>44102</v>
      </c>
      <c r="K388" s="114">
        <f>[2]Base!BL388</f>
        <v>2034</v>
      </c>
      <c r="L388" s="114">
        <f>[2]Base!DZ388</f>
        <v>2237</v>
      </c>
      <c r="M388" s="57">
        <f>[2]Base!AO388</f>
        <v>620500000</v>
      </c>
      <c r="N388" s="57">
        <f>[2]Base!AP388</f>
        <v>27324950</v>
      </c>
      <c r="O388" s="58">
        <f>[2]Base!AQ388</f>
        <v>647824950</v>
      </c>
      <c r="P388" s="59">
        <f>[2]Base!EF388</f>
        <v>9.8468421679571178E-2</v>
      </c>
      <c r="Q388" s="59">
        <f>[2]Base!EH388</f>
        <v>0.5916835020845741</v>
      </c>
      <c r="R388" s="59">
        <f>[2]Base!EJ388</f>
        <v>0.29971767718880288</v>
      </c>
      <c r="S388" s="60">
        <f>[2]Base!EL388</f>
        <v>1.0130399047051817E-2</v>
      </c>
    </row>
    <row r="389" spans="2:19" ht="13.2" x14ac:dyDescent="0.25">
      <c r="B389" s="51" t="str">
        <f>[2]Base!A389</f>
        <v>HIDROVIAS</v>
      </c>
      <c r="C389" s="52" t="str">
        <f>[2]Base!C389</f>
        <v>NM</v>
      </c>
      <c r="D389" s="52" t="str">
        <f>[2]Base!EQ389</f>
        <v>Transporte Hidroviário</v>
      </c>
      <c r="E389" s="52" t="str">
        <f>[2]Base!M389</f>
        <v>Bank of America</v>
      </c>
      <c r="F389" s="52" t="str">
        <f>[2]Base!F389</f>
        <v>IPO</v>
      </c>
      <c r="G389" s="52" t="str">
        <f>[2]Base!G389</f>
        <v>ICVM 400</v>
      </c>
      <c r="H389" s="53">
        <f>[2]Base!X389</f>
        <v>44097</v>
      </c>
      <c r="I389" s="54">
        <f>[2]Base!W389</f>
        <v>7.56</v>
      </c>
      <c r="J389" s="55">
        <f>[2]Base!J389</f>
        <v>44099</v>
      </c>
      <c r="K389" s="114">
        <f>[2]Base!BL389</f>
        <v>2999</v>
      </c>
      <c r="L389" s="114">
        <f>[2]Base!DZ389</f>
        <v>3359</v>
      </c>
      <c r="M389" s="57">
        <f>[2]Base!AO389</f>
        <v>0</v>
      </c>
      <c r="N389" s="57">
        <f>[2]Base!AP389</f>
        <v>3019664869.1999998</v>
      </c>
      <c r="O389" s="58">
        <f>[2]Base!AQ389</f>
        <v>3019664869.1999998</v>
      </c>
      <c r="P389" s="59">
        <f>[2]Base!EF389</f>
        <v>0.11786782240205776</v>
      </c>
      <c r="Q389" s="59">
        <f>[2]Base!EH389</f>
        <v>0.52217207995779402</v>
      </c>
      <c r="R389" s="59">
        <f>[2]Base!EJ389</f>
        <v>0.35568626391996866</v>
      </c>
      <c r="S389" s="60">
        <f>[2]Base!EL389</f>
        <v>4.2738337201795517E-3</v>
      </c>
    </row>
    <row r="390" spans="2:19" ht="13.2" x14ac:dyDescent="0.25">
      <c r="B390" s="51" t="str">
        <f>[2]Base!A390</f>
        <v>CURY S/A</v>
      </c>
      <c r="C390" s="52" t="str">
        <f>[2]Base!C390</f>
        <v>NM</v>
      </c>
      <c r="D390" s="52" t="str">
        <f>[2]Base!EQ390</f>
        <v>Incorporações</v>
      </c>
      <c r="E390" s="52" t="str">
        <f>[2]Base!M390</f>
        <v>BTG Pactual</v>
      </c>
      <c r="F390" s="52" t="str">
        <f>[2]Base!F390</f>
        <v>IPO</v>
      </c>
      <c r="G390" s="52" t="str">
        <f>[2]Base!G390</f>
        <v>ICVM 400</v>
      </c>
      <c r="H390" s="53">
        <f>[2]Base!X390</f>
        <v>44091</v>
      </c>
      <c r="I390" s="54">
        <f>[2]Base!W390</f>
        <v>9.35</v>
      </c>
      <c r="J390" s="55">
        <f>[2]Base!J390</f>
        <v>44095</v>
      </c>
      <c r="K390" s="114">
        <f>[2]Base!BL390</f>
        <v>1140</v>
      </c>
      <c r="L390" s="114">
        <f>[2]Base!DZ390</f>
        <v>1377</v>
      </c>
      <c r="M390" s="57">
        <f>[2]Base!AO390</f>
        <v>169999998.29999998</v>
      </c>
      <c r="N390" s="57">
        <f>[2]Base!AP390</f>
        <v>807499996.5999999</v>
      </c>
      <c r="O390" s="58">
        <f>[2]Base!AQ390</f>
        <v>977499994.89999986</v>
      </c>
      <c r="P390" s="59">
        <f>[2]Base!EF390</f>
        <v>9.8209301381961572E-2</v>
      </c>
      <c r="Q390" s="59">
        <f>[2]Base!EH390</f>
        <v>0.78759423628310044</v>
      </c>
      <c r="R390" s="59">
        <f>[2]Base!EJ390</f>
        <v>0.11397800233379828</v>
      </c>
      <c r="S390" s="60">
        <f>[2]Base!EL390</f>
        <v>2.184600011397913E-4</v>
      </c>
    </row>
    <row r="391" spans="2:19" ht="13.2" x14ac:dyDescent="0.25">
      <c r="B391" s="51" t="str">
        <f>[2]Base!A391</f>
        <v>BOA VISTA</v>
      </c>
      <c r="C391" s="52" t="str">
        <f>[2]Base!C391</f>
        <v>NM</v>
      </c>
      <c r="D391" s="52" t="str">
        <f>[2]Base!EQ391</f>
        <v>Serviços Financeiros Diversos</v>
      </c>
      <c r="E391" s="52" t="str">
        <f>[2]Base!M391</f>
        <v>J.P. Morgan</v>
      </c>
      <c r="F391" s="52" t="str">
        <f>[2]Base!F391</f>
        <v>IPO</v>
      </c>
      <c r="G391" s="52" t="str">
        <f>[2]Base!G391</f>
        <v>ICVM 400</v>
      </c>
      <c r="H391" s="53">
        <f>[2]Base!X391</f>
        <v>44102</v>
      </c>
      <c r="I391" s="54">
        <f>[2]Base!W391</f>
        <v>12.2</v>
      </c>
      <c r="J391" s="55">
        <f>[2]Base!J391</f>
        <v>44104</v>
      </c>
      <c r="K391" s="114">
        <f>[2]Base!BL391</f>
        <v>1510</v>
      </c>
      <c r="L391" s="114">
        <f>[2]Base!DZ391</f>
        <v>1898</v>
      </c>
      <c r="M391" s="57">
        <f>[2]Base!AO391</f>
        <v>1299676492</v>
      </c>
      <c r="N391" s="57">
        <f>[2]Base!AP391</f>
        <v>870065582.19999993</v>
      </c>
      <c r="O391" s="58">
        <f>[2]Base!AQ391</f>
        <v>2169742074.1999998</v>
      </c>
      <c r="P391" s="59">
        <f>[2]Base!EF391</f>
        <v>9.689944786525817E-2</v>
      </c>
      <c r="Q391" s="59">
        <f>[2]Base!EH391</f>
        <v>0.28286285337684219</v>
      </c>
      <c r="R391" s="59">
        <f>[2]Base!EJ391</f>
        <v>0.61713605074174949</v>
      </c>
      <c r="S391" s="60">
        <f>[2]Base!EL391</f>
        <v>2.1713689640908565E-3</v>
      </c>
    </row>
    <row r="392" spans="2:19" ht="13.2" x14ac:dyDescent="0.25">
      <c r="B392" s="51" t="str">
        <f>[2]Base!A392</f>
        <v>SUZANO</v>
      </c>
      <c r="C392" s="52" t="str">
        <f>[2]Base!C392</f>
        <v>NM</v>
      </c>
      <c r="D392" s="52" t="str">
        <f>[2]Base!EQ392</f>
        <v>Papel e Celulose</v>
      </c>
      <c r="E392" s="52" t="str">
        <f>[2]Base!M392</f>
        <v>J.P. Morgan</v>
      </c>
      <c r="F392" s="52" t="str">
        <f>[2]Base!F392</f>
        <v>FOLLOW-ON</v>
      </c>
      <c r="G392" s="52" t="str">
        <f>[2]Base!G392</f>
        <v>ICVM 400</v>
      </c>
      <c r="H392" s="53">
        <f>[2]Base!X392</f>
        <v>44105</v>
      </c>
      <c r="I392" s="54">
        <f>[2]Base!W392</f>
        <v>46</v>
      </c>
      <c r="J392" s="55">
        <f>[2]Base!J392</f>
        <v>44109</v>
      </c>
      <c r="K392" s="114">
        <f>[2]Base!BL392</f>
        <v>1355</v>
      </c>
      <c r="L392" s="114">
        <f>[2]Base!DZ392</f>
        <v>1946</v>
      </c>
      <c r="M392" s="57">
        <f>[2]Base!AO392</f>
        <v>0</v>
      </c>
      <c r="N392" s="57">
        <f>[2]Base!AP392</f>
        <v>6910001550</v>
      </c>
      <c r="O392" s="58">
        <f>[2]Base!AQ392</f>
        <v>6910001550</v>
      </c>
      <c r="P392" s="59">
        <f>[2]Base!EF392</f>
        <v>4.5865058597562833E-2</v>
      </c>
      <c r="Q392" s="59">
        <f>[2]Base!EH392</f>
        <v>0.42986197506714019</v>
      </c>
      <c r="R392" s="59">
        <f>[2]Base!EJ392</f>
        <v>0.51725026573981014</v>
      </c>
      <c r="S392" s="60">
        <f>[2]Base!EL392</f>
        <v>7.0227005954868419E-3</v>
      </c>
    </row>
    <row r="393" spans="2:19" ht="13.2" x14ac:dyDescent="0.25">
      <c r="B393" s="51" t="str">
        <f>[2]Base!A393</f>
        <v>SEQUOIA LOG</v>
      </c>
      <c r="C393" s="52" t="str">
        <f>[2]Base!C393</f>
        <v>NM</v>
      </c>
      <c r="D393" s="52" t="str">
        <f>[2]Base!EQ393</f>
        <v>Serviços Diversos</v>
      </c>
      <c r="E393" s="52" t="str">
        <f>[2]Base!M393</f>
        <v>BTG Pactual</v>
      </c>
      <c r="F393" s="52" t="str">
        <f>[2]Base!F393</f>
        <v>IPO</v>
      </c>
      <c r="G393" s="52" t="str">
        <f>[2]Base!G393</f>
        <v>ICVM 400</v>
      </c>
      <c r="H393" s="53">
        <f>[2]Base!X393</f>
        <v>44109</v>
      </c>
      <c r="I393" s="54">
        <f>[2]Base!W393</f>
        <v>12.4</v>
      </c>
      <c r="J393" s="55">
        <f>[2]Base!J393</f>
        <v>44111</v>
      </c>
      <c r="K393" s="114">
        <f>[2]Base!BL393</f>
        <v>572</v>
      </c>
      <c r="L393" s="114">
        <f>[2]Base!DZ393</f>
        <v>705</v>
      </c>
      <c r="M393" s="57">
        <f>[2]Base!AO393</f>
        <v>348070170</v>
      </c>
      <c r="N393" s="57">
        <f>[2]Base!AP393</f>
        <v>557787687.20000005</v>
      </c>
      <c r="O393" s="58">
        <f>[2]Base!AQ393</f>
        <v>905857857.20000005</v>
      </c>
      <c r="P393" s="59">
        <f>[2]Base!EF393</f>
        <v>3.8005060435304307E-2</v>
      </c>
      <c r="Q393" s="59">
        <f>[2]Base!EH393</f>
        <v>0.26971787093645905</v>
      </c>
      <c r="R393" s="59">
        <f>[2]Base!EJ393</f>
        <v>0.69140133796102299</v>
      </c>
      <c r="S393" s="60">
        <f>[2]Base!EL393</f>
        <v>8.7573066721363538E-4</v>
      </c>
    </row>
    <row r="394" spans="2:19" ht="13.2" x14ac:dyDescent="0.25">
      <c r="B394" s="51" t="str">
        <f>[2]Base!A394</f>
        <v>GRUPO MATEUS</v>
      </c>
      <c r="C394" s="52" t="str">
        <f>[2]Base!C394</f>
        <v>NM</v>
      </c>
      <c r="D394" s="52" t="str">
        <f>[2]Base!EQ394</f>
        <v>Alimentos</v>
      </c>
      <c r="E394" s="52" t="str">
        <f>[2]Base!M394</f>
        <v>XP Investimentos</v>
      </c>
      <c r="F394" s="52" t="str">
        <f>[2]Base!F394</f>
        <v>IPO</v>
      </c>
      <c r="G394" s="52" t="str">
        <f>[2]Base!G394</f>
        <v>ICVM 400</v>
      </c>
      <c r="H394" s="53">
        <f>[2]Base!X394</f>
        <v>44112</v>
      </c>
      <c r="I394" s="54">
        <f>[2]Base!W394</f>
        <v>8.9700000000000006</v>
      </c>
      <c r="J394" s="55">
        <f>[2]Base!J394</f>
        <v>44117</v>
      </c>
      <c r="K394" s="114">
        <f>[2]Base!BL394</f>
        <v>16162</v>
      </c>
      <c r="L394" s="114">
        <f>[2]Base!DZ394</f>
        <v>17115</v>
      </c>
      <c r="M394" s="57">
        <f>[2]Base!AO394</f>
        <v>3099286440.5100002</v>
      </c>
      <c r="N394" s="57">
        <f>[2]Base!AP394</f>
        <v>1062364461.6000001</v>
      </c>
      <c r="O394" s="58">
        <f>[2]Base!AQ394</f>
        <v>4161650902.1100006</v>
      </c>
      <c r="P394" s="59">
        <f>[2]Base!EF394</f>
        <v>0.10400331939365198</v>
      </c>
      <c r="Q394" s="59">
        <f>[2]Base!EH394</f>
        <v>0.60837274307573608</v>
      </c>
      <c r="R394" s="59">
        <f>[2]Base!EJ394</f>
        <v>0.2734226017913573</v>
      </c>
      <c r="S394" s="60">
        <f>[2]Base!EL394</f>
        <v>1.4201335739254596E-2</v>
      </c>
    </row>
    <row r="395" spans="2:19" ht="13.2" x14ac:dyDescent="0.25">
      <c r="B395" s="51" t="str">
        <f>[2]Base!A395</f>
        <v>GRUPO NATURA</v>
      </c>
      <c r="C395" s="52" t="str">
        <f>[2]Base!C395</f>
        <v>NM</v>
      </c>
      <c r="D395" s="52" t="str">
        <f>[2]Base!EQ395</f>
        <v>Produtos de Uso Pessoal</v>
      </c>
      <c r="E395" s="52" t="str">
        <f>[2]Base!M395</f>
        <v>Morgan Stanley</v>
      </c>
      <c r="F395" s="52" t="str">
        <f>[2]Base!F395</f>
        <v>FOLLOW-ON</v>
      </c>
      <c r="G395" s="52" t="str">
        <f>[2]Base!G395</f>
        <v>ICVM 476</v>
      </c>
      <c r="H395" s="53">
        <f>[2]Base!X395</f>
        <v>44112</v>
      </c>
      <c r="I395" s="54">
        <f>[2]Base!W395</f>
        <v>46.25</v>
      </c>
      <c r="J395" s="55">
        <f>[2]Base!J395</f>
        <v>44117</v>
      </c>
      <c r="K395" s="114">
        <f>[2]Base!BL395</f>
        <v>0</v>
      </c>
      <c r="L395" s="114">
        <f>[2]Base!DZ395</f>
        <v>1635</v>
      </c>
      <c r="M395" s="57">
        <f>[2]Base!AO395</f>
        <v>5614750000</v>
      </c>
      <c r="N395" s="57">
        <f>[2]Base!AP395</f>
        <v>0</v>
      </c>
      <c r="O395" s="58">
        <f>[2]Base!AQ395</f>
        <v>5614750000</v>
      </c>
      <c r="P395" s="59">
        <f>[2]Base!EF395</f>
        <v>0</v>
      </c>
      <c r="Q395" s="59">
        <f>[2]Base!EH395</f>
        <v>0.36891922570016472</v>
      </c>
      <c r="R395" s="59">
        <f>[2]Base!EJ395</f>
        <v>0.10215650741350907</v>
      </c>
      <c r="S395" s="60">
        <f>[2]Base!EL395</f>
        <v>0.32242509060955521</v>
      </c>
    </row>
    <row r="396" spans="2:19" ht="13.2" x14ac:dyDescent="0.25">
      <c r="B396" s="51" t="str">
        <f>[2]Base!A396</f>
        <v>TRACK FIELD</v>
      </c>
      <c r="C396" s="52" t="str">
        <f>[2]Base!C396</f>
        <v>N2</v>
      </c>
      <c r="D396" s="52" t="str">
        <f>[2]Base!EQ396</f>
        <v>Vestuário</v>
      </c>
      <c r="E396" s="52" t="str">
        <f>[2]Base!M396</f>
        <v>BTG Pactual</v>
      </c>
      <c r="F396" s="52" t="str">
        <f>[2]Base!F396</f>
        <v>IPO</v>
      </c>
      <c r="G396" s="52" t="str">
        <f>[2]Base!G396</f>
        <v>ICVM 400</v>
      </c>
      <c r="H396" s="53">
        <f>[2]Base!X396</f>
        <v>44126</v>
      </c>
      <c r="I396" s="54">
        <f>[2]Base!W396</f>
        <v>9.25</v>
      </c>
      <c r="J396" s="55">
        <f>[2]Base!J396</f>
        <v>44130</v>
      </c>
      <c r="K396" s="114">
        <f>[2]Base!BL396</f>
        <v>1267</v>
      </c>
      <c r="L396" s="114">
        <f>[2]Base!DZ396</f>
        <v>1422</v>
      </c>
      <c r="M396" s="57">
        <f>[2]Base!AO396</f>
        <v>182391500</v>
      </c>
      <c r="N396" s="57">
        <f>[2]Base!AP396</f>
        <v>309825050</v>
      </c>
      <c r="O396" s="58">
        <f>[2]Base!AQ396</f>
        <v>492216550</v>
      </c>
      <c r="P396" s="59">
        <f>[2]Base!EF396</f>
        <v>7.403591028795084E-2</v>
      </c>
      <c r="Q396" s="59">
        <f>[2]Base!EH396</f>
        <v>0.6792292482079344</v>
      </c>
      <c r="R396" s="59">
        <f>[2]Base!EJ396</f>
        <v>0.23665688024067533</v>
      </c>
      <c r="S396" s="60">
        <f>[2]Base!EL396</f>
        <v>8.0527370452185935E-3</v>
      </c>
    </row>
    <row r="397" spans="2:19" ht="13.2" x14ac:dyDescent="0.25">
      <c r="B397" s="51" t="str">
        <f>[2]Base!A397</f>
        <v>MELIUZ</v>
      </c>
      <c r="C397" s="52" t="str">
        <f>[2]Base!C397</f>
        <v>NM</v>
      </c>
      <c r="D397" s="52" t="str">
        <f>[2]Base!EQ397</f>
        <v>Programas e Serviços</v>
      </c>
      <c r="E397" s="52" t="str">
        <f>[2]Base!M397</f>
        <v>Itaú BBA</v>
      </c>
      <c r="F397" s="52" t="str">
        <f>[2]Base!F397</f>
        <v>IPO</v>
      </c>
      <c r="G397" s="52" t="str">
        <f>[2]Base!G397</f>
        <v>ICVM 400</v>
      </c>
      <c r="H397" s="53">
        <f>[2]Base!X397</f>
        <v>44138</v>
      </c>
      <c r="I397" s="54">
        <f>[2]Base!W397</f>
        <v>10</v>
      </c>
      <c r="J397" s="55">
        <f>[2]Base!J397</f>
        <v>44139</v>
      </c>
      <c r="K397" s="114">
        <f>[2]Base!BL397</f>
        <v>1066</v>
      </c>
      <c r="L397" s="114">
        <f>[2]Base!DZ397</f>
        <v>1256</v>
      </c>
      <c r="M397" s="57">
        <f>[2]Base!AO397</f>
        <v>334677510</v>
      </c>
      <c r="N397" s="57">
        <f>[2]Base!AP397</f>
        <v>294718120</v>
      </c>
      <c r="O397" s="58">
        <f>[2]Base!AQ397</f>
        <v>629395630</v>
      </c>
      <c r="P397" s="59">
        <f>[2]Base!EF397</f>
        <v>0.10185889040722203</v>
      </c>
      <c r="Q397" s="59">
        <f>[2]Base!EH397</f>
        <v>0.63191547132501613</v>
      </c>
      <c r="R397" s="59">
        <f>[2]Base!EJ397</f>
        <v>0.26036318280768739</v>
      </c>
      <c r="S397" s="60">
        <f>[2]Base!EL397</f>
        <v>5.8624554600745105E-3</v>
      </c>
    </row>
    <row r="398" spans="2:19" ht="13.2" x14ac:dyDescent="0.25">
      <c r="B398" s="51" t="str">
        <f>[2]Base!A398</f>
        <v>ENJOEI</v>
      </c>
      <c r="C398" s="52" t="str">
        <f>[2]Base!C398</f>
        <v>NM</v>
      </c>
      <c r="D398" s="52" t="str">
        <f>[2]Base!EQ398</f>
        <v>Programas e Serviços</v>
      </c>
      <c r="E398" s="52" t="str">
        <f>[2]Base!M398</f>
        <v>BTG Pactual</v>
      </c>
      <c r="F398" s="52" t="str">
        <f>[2]Base!F398</f>
        <v>IPO</v>
      </c>
      <c r="G398" s="52" t="str">
        <f>[2]Base!G398</f>
        <v>ICVM 400</v>
      </c>
      <c r="H398" s="53">
        <f>[2]Base!X398</f>
        <v>44140</v>
      </c>
      <c r="I398" s="54">
        <f>[2]Base!W398</f>
        <v>10.25</v>
      </c>
      <c r="J398" s="55">
        <f>[2]Base!J398</f>
        <v>44141</v>
      </c>
      <c r="K398" s="114">
        <f>[2]Base!BL398</f>
        <v>1221</v>
      </c>
      <c r="L398" s="114">
        <f>[2]Base!DZ398</f>
        <v>1447</v>
      </c>
      <c r="M398" s="57">
        <f>[2]Base!AO398</f>
        <v>470833750</v>
      </c>
      <c r="N398" s="57">
        <f>[2]Base!AP398</f>
        <v>515883760.75</v>
      </c>
      <c r="O398" s="58">
        <f>[2]Base!AQ398</f>
        <v>986717510.75</v>
      </c>
      <c r="P398" s="59">
        <f>[2]Base!EF398</f>
        <v>0.10703065504124835</v>
      </c>
      <c r="Q398" s="59">
        <f>[2]Base!EH398</f>
        <v>0.71477944005202088</v>
      </c>
      <c r="R398" s="59">
        <f>[2]Base!EJ398</f>
        <v>0.17534201808662636</v>
      </c>
      <c r="S398" s="60">
        <f>[2]Base!EL398</f>
        <v>2.8478868201044522E-3</v>
      </c>
    </row>
    <row r="399" spans="2:19" ht="13.2" x14ac:dyDescent="0.25">
      <c r="B399" s="51" t="str">
        <f>[2]Base!A399</f>
        <v>AURA 360</v>
      </c>
      <c r="C399" s="52" t="str">
        <f>[2]Base!C399</f>
        <v>BDR</v>
      </c>
      <c r="D399" s="52" t="str">
        <f>[2]Base!EQ399</f>
        <v>Minerais Metálicos</v>
      </c>
      <c r="E399" s="52" t="str">
        <f>[2]Base!M399</f>
        <v>XP Investimentos</v>
      </c>
      <c r="F399" s="52" t="str">
        <f>[2]Base!F399</f>
        <v>FOLLOW-ON</v>
      </c>
      <c r="G399" s="52" t="str">
        <f>[2]Base!G399</f>
        <v>ICVM 400</v>
      </c>
      <c r="H399" s="53">
        <f>[2]Base!X399</f>
        <v>44141</v>
      </c>
      <c r="I399" s="54">
        <f>[2]Base!W399</f>
        <v>48.5</v>
      </c>
      <c r="J399" s="55">
        <f>[2]Base!J399</f>
        <v>44144</v>
      </c>
      <c r="K399" s="114">
        <f>[2]Base!BL399</f>
        <v>543</v>
      </c>
      <c r="L399" s="114">
        <f>[2]Base!DZ399</f>
        <v>580</v>
      </c>
      <c r="M399" s="57">
        <f>[2]Base!AO399</f>
        <v>0</v>
      </c>
      <c r="N399" s="57">
        <f>[2]Base!AP399</f>
        <v>87300000</v>
      </c>
      <c r="O399" s="58">
        <f>[2]Base!AQ399</f>
        <v>87300000</v>
      </c>
      <c r="P399" s="59">
        <f>[2]Base!EF399</f>
        <v>0.14430000000000001</v>
      </c>
      <c r="Q399" s="59">
        <f>[2]Base!EH399</f>
        <v>0.76633777777777778</v>
      </c>
      <c r="R399" s="59">
        <f>[2]Base!EJ399</f>
        <v>0</v>
      </c>
      <c r="S399" s="60">
        <f>[2]Base!EL399</f>
        <v>8.9362222222222218E-2</v>
      </c>
    </row>
    <row r="400" spans="2:19" ht="13.2" x14ac:dyDescent="0.25">
      <c r="B400" s="51" t="str">
        <f>[2]Base!A400</f>
        <v>AERIS</v>
      </c>
      <c r="C400" s="52" t="str">
        <f>[2]Base!C400</f>
        <v>NM</v>
      </c>
      <c r="D400" s="52" t="str">
        <f>[2]Base!EQ400</f>
        <v>Máq. e Equip. Industriais</v>
      </c>
      <c r="E400" s="52" t="str">
        <f>[2]Base!M400</f>
        <v>BTG Pactual</v>
      </c>
      <c r="F400" s="52" t="str">
        <f>[2]Base!F400</f>
        <v>IPO</v>
      </c>
      <c r="G400" s="52" t="str">
        <f>[2]Base!G400</f>
        <v>ICVM 400</v>
      </c>
      <c r="H400" s="53">
        <f>[2]Base!X400</f>
        <v>44144</v>
      </c>
      <c r="I400" s="54">
        <f>[2]Base!W400</f>
        <v>5.55</v>
      </c>
      <c r="J400" s="55">
        <f>[2]Base!J400</f>
        <v>44145</v>
      </c>
      <c r="K400" s="114">
        <f>[2]Base!BL400</f>
        <v>1161</v>
      </c>
      <c r="L400" s="114">
        <f>[2]Base!DZ400</f>
        <v>1330</v>
      </c>
      <c r="M400" s="57">
        <f>[2]Base!AO400</f>
        <v>834634607.70000005</v>
      </c>
      <c r="N400" s="57">
        <f>[2]Base!AP400</f>
        <v>294576883.80000001</v>
      </c>
      <c r="O400" s="58">
        <f>[2]Base!AQ400</f>
        <v>1129211491.5</v>
      </c>
      <c r="P400" s="59">
        <f>[2]Base!EF400</f>
        <v>3.4478395006662922E-2</v>
      </c>
      <c r="Q400" s="59">
        <f>[2]Base!EH400</f>
        <v>0.29991489300213164</v>
      </c>
      <c r="R400" s="59">
        <f>[2]Base!EJ400</f>
        <v>0.66448168358903037</v>
      </c>
      <c r="S400" s="60">
        <f>[2]Base!EL400</f>
        <v>1.1250284021750941E-3</v>
      </c>
    </row>
    <row r="401" spans="2:19" ht="13.2" x14ac:dyDescent="0.25">
      <c r="B401" s="51" t="str">
        <f>[2]Base!A401</f>
        <v>3R PETROLEUM</v>
      </c>
      <c r="C401" s="52" t="str">
        <f>[2]Base!C401</f>
        <v>NM</v>
      </c>
      <c r="D401" s="52" t="str">
        <f>[2]Base!EQ401</f>
        <v>Exploração. Refino e Distribuição</v>
      </c>
      <c r="E401" s="52" t="str">
        <f>[2]Base!M401</f>
        <v>XP Investimentos</v>
      </c>
      <c r="F401" s="52" t="str">
        <f>[2]Base!F401</f>
        <v>IPO</v>
      </c>
      <c r="G401" s="52" t="str">
        <f>[2]Base!G401</f>
        <v>ICVM 400</v>
      </c>
      <c r="H401" s="53">
        <f>[2]Base!X401</f>
        <v>44144</v>
      </c>
      <c r="I401" s="54">
        <f>[2]Base!W401</f>
        <v>21</v>
      </c>
      <c r="J401" s="55">
        <f>[2]Base!J401</f>
        <v>44145</v>
      </c>
      <c r="K401" s="114">
        <f>[2]Base!BL401</f>
        <v>1412</v>
      </c>
      <c r="L401" s="114">
        <f>[2]Base!DZ401</f>
        <v>1516</v>
      </c>
      <c r="M401" s="57">
        <f>[2]Base!AO401</f>
        <v>690000003</v>
      </c>
      <c r="N401" s="57">
        <f>[2]Base!AP401</f>
        <v>0</v>
      </c>
      <c r="O401" s="58">
        <f>[2]Base!AQ401</f>
        <v>690000003</v>
      </c>
      <c r="P401" s="59">
        <f>[2]Base!EF401</f>
        <v>7.5767877931444003E-2</v>
      </c>
      <c r="Q401" s="59">
        <f>[2]Base!EH401</f>
        <v>0.57498298010876969</v>
      </c>
      <c r="R401" s="59">
        <f>[2]Base!EJ401</f>
        <v>0.17378513402702114</v>
      </c>
      <c r="S401" s="60">
        <f>[2]Base!EL401</f>
        <v>0.17546400793276518</v>
      </c>
    </row>
    <row r="402" spans="2:19" ht="13.2" x14ac:dyDescent="0.25">
      <c r="B402" s="51" t="str">
        <f>[2]Base!A402</f>
        <v>BK BRASIL</v>
      </c>
      <c r="C402" s="52" t="str">
        <f>[2]Base!C402</f>
        <v>NM</v>
      </c>
      <c r="D402" s="52" t="str">
        <f>[2]Base!EQ402</f>
        <v>Restaurante e Similares</v>
      </c>
      <c r="E402" s="52" t="str">
        <f>[2]Base!M402</f>
        <v>Itaú BBA</v>
      </c>
      <c r="F402" s="52" t="str">
        <f>[2]Base!F402</f>
        <v>FOLLOW-ON</v>
      </c>
      <c r="G402" s="52" t="str">
        <f>[2]Base!G402</f>
        <v>ICVM 476</v>
      </c>
      <c r="H402" s="53">
        <f>[2]Base!X402</f>
        <v>44152</v>
      </c>
      <c r="I402" s="54">
        <f>[2]Base!W402</f>
        <v>10.8</v>
      </c>
      <c r="J402" s="55">
        <f>[2]Base!J402</f>
        <v>44154</v>
      </c>
      <c r="K402" s="114">
        <f>[2]Base!BL402</f>
        <v>324</v>
      </c>
      <c r="L402" s="114">
        <f>[2]Base!DZ402</f>
        <v>505</v>
      </c>
      <c r="M402" s="57">
        <f>[2]Base!AO402</f>
        <v>510300000</v>
      </c>
      <c r="N402" s="57">
        <f>[2]Base!AP402</f>
        <v>0</v>
      </c>
      <c r="O402" s="58">
        <f>[2]Base!AQ402</f>
        <v>510300000</v>
      </c>
      <c r="P402" s="59">
        <f>[2]Base!EF402</f>
        <v>2.8301164021164015E-3</v>
      </c>
      <c r="Q402" s="59">
        <f>[2]Base!EH402</f>
        <v>0.41647214814814815</v>
      </c>
      <c r="R402" s="59">
        <f>[2]Base!EJ402</f>
        <v>0.50764852910052904</v>
      </c>
      <c r="S402" s="60">
        <f>[2]Base!EL402</f>
        <v>7.3049206349206336E-2</v>
      </c>
    </row>
    <row r="403" spans="2:19" ht="13.2" x14ac:dyDescent="0.25">
      <c r="B403" s="51" t="str">
        <f>[2]Base!A403</f>
        <v>ANIMA</v>
      </c>
      <c r="C403" s="52" t="str">
        <f>[2]Base!C403</f>
        <v>NM</v>
      </c>
      <c r="D403" s="52" t="str">
        <f>[2]Base!EQ403</f>
        <v>Serviços Educacionais</v>
      </c>
      <c r="E403" s="52" t="str">
        <f>[2]Base!M403</f>
        <v>Bradesco BBI</v>
      </c>
      <c r="F403" s="52" t="str">
        <f>[2]Base!F403</f>
        <v>FOLLOW-ON</v>
      </c>
      <c r="G403" s="52" t="str">
        <f>[2]Base!G403</f>
        <v>ICVM 476</v>
      </c>
      <c r="H403" s="53">
        <f>[2]Base!X403</f>
        <v>44168</v>
      </c>
      <c r="I403" s="54">
        <f>[2]Base!W403</f>
        <v>34</v>
      </c>
      <c r="J403" s="55">
        <f>[2]Base!J403</f>
        <v>44172</v>
      </c>
      <c r="K403" s="114">
        <f>[2]Base!BL403</f>
        <v>0</v>
      </c>
      <c r="L403" s="114">
        <f>[2]Base!DZ403</f>
        <v>297</v>
      </c>
      <c r="M403" s="57">
        <f>[2]Base!AO403</f>
        <v>918000000</v>
      </c>
      <c r="N403" s="57">
        <f>[2]Base!AP403</f>
        <v>0</v>
      </c>
      <c r="O403" s="58">
        <f>[2]Base!AQ403</f>
        <v>918000000</v>
      </c>
      <c r="P403" s="59">
        <f>[2]Base!EF403</f>
        <v>0</v>
      </c>
      <c r="Q403" s="59">
        <f>[2]Base!EH403</f>
        <v>0.45037037037037037</v>
      </c>
      <c r="R403" s="59">
        <f>[2]Base!EJ403</f>
        <v>0.12278966666666667</v>
      </c>
      <c r="S403" s="60">
        <f>[2]Base!EL403</f>
        <v>0.42683996296296295</v>
      </c>
    </row>
    <row r="404" spans="2:19" ht="13.2" x14ac:dyDescent="0.25">
      <c r="B404" s="51" t="str">
        <f>[2]Base!A404</f>
        <v>INTERMEDICA</v>
      </c>
      <c r="C404" s="52" t="str">
        <f>[2]Base!C404</f>
        <v>NM</v>
      </c>
      <c r="D404" s="52" t="str">
        <f>[2]Base!EQ404</f>
        <v>Serv.Méd.Hospit..Análises e Diagnósticos</v>
      </c>
      <c r="E404" s="52" t="str">
        <f>[2]Base!M404</f>
        <v>Itaú  BBA</v>
      </c>
      <c r="F404" s="52" t="str">
        <f>[2]Base!F404</f>
        <v>FOLLOW-ON</v>
      </c>
      <c r="G404" s="52" t="str">
        <f>[2]Base!G404</f>
        <v>ICVM 476</v>
      </c>
      <c r="H404" s="53">
        <f>[2]Base!X404</f>
        <v>44166</v>
      </c>
      <c r="I404" s="54">
        <f>[2]Base!W404</f>
        <v>69.5</v>
      </c>
      <c r="J404" s="55">
        <f>[2]Base!J404</f>
        <v>44168</v>
      </c>
      <c r="K404" s="114">
        <f>[2]Base!BL404</f>
        <v>0</v>
      </c>
      <c r="L404" s="114">
        <f>[2]Base!DZ404</f>
        <v>436</v>
      </c>
      <c r="M404" s="57">
        <f>[2]Base!AO404</f>
        <v>0</v>
      </c>
      <c r="N404" s="57">
        <f>[2]Base!AP404</f>
        <v>3753000000</v>
      </c>
      <c r="O404" s="58">
        <f>[2]Base!AQ404</f>
        <v>3753000000</v>
      </c>
      <c r="P404" s="59">
        <f>[2]Base!EF404</f>
        <v>7.6444444444444438E-5</v>
      </c>
      <c r="Q404" s="59">
        <f>[2]Base!EH404</f>
        <v>0.46638235185185184</v>
      </c>
      <c r="R404" s="59">
        <f>[2]Base!EJ404</f>
        <v>0.53335601851851855</v>
      </c>
      <c r="S404" s="60">
        <f>[2]Base!EL404</f>
        <v>1.8518518518518518E-4</v>
      </c>
    </row>
    <row r="405" spans="2:19" ht="13.2" x14ac:dyDescent="0.25">
      <c r="B405" s="51" t="str">
        <f>[2]Base!A405</f>
        <v>ALPHAVILLE</v>
      </c>
      <c r="C405" s="52" t="str">
        <f>[2]Base!C405</f>
        <v>NM</v>
      </c>
      <c r="D405" s="52" t="str">
        <f>[2]Base!EQ405</f>
        <v>Incorporações</v>
      </c>
      <c r="E405" s="52" t="str">
        <f>[2]Base!M405</f>
        <v>Bradesco BB</v>
      </c>
      <c r="F405" s="52" t="str">
        <f>[2]Base!F405</f>
        <v>IPO</v>
      </c>
      <c r="G405" s="52" t="str">
        <f>[2]Base!G405</f>
        <v>ICVM 476</v>
      </c>
      <c r="H405" s="53">
        <f>[2]Base!X405</f>
        <v>44174</v>
      </c>
      <c r="I405" s="54">
        <f>[2]Base!W405</f>
        <v>29.5</v>
      </c>
      <c r="J405" s="55">
        <f>[2]Base!J405</f>
        <v>44172</v>
      </c>
      <c r="K405" s="114">
        <f>[2]Base!BL405</f>
        <v>6</v>
      </c>
      <c r="L405" s="114">
        <f>[2]Base!DZ405</f>
        <v>39</v>
      </c>
      <c r="M405" s="57">
        <f>[2]Base!AO405</f>
        <v>305992585</v>
      </c>
      <c r="N405" s="57">
        <f>[2]Base!AP405</f>
        <v>0</v>
      </c>
      <c r="O405" s="58">
        <f>[2]Base!AQ405</f>
        <v>305992585</v>
      </c>
      <c r="P405" s="59">
        <f>[2]Base!EF405</f>
        <v>1.6666939821433909E-2</v>
      </c>
      <c r="Q405" s="59">
        <f>[2]Base!EH405</f>
        <v>0.80600194936096248</v>
      </c>
      <c r="R405" s="59">
        <f>[2]Base!EJ405</f>
        <v>4.4752391630666473E-2</v>
      </c>
      <c r="S405" s="60">
        <f>[2]Base!EL405</f>
        <v>0.13257871918693717</v>
      </c>
    </row>
    <row r="406" spans="2:19" ht="13.2" x14ac:dyDescent="0.25">
      <c r="B406" s="51" t="str">
        <f>[2]Base!A406</f>
        <v>REDE D OR</v>
      </c>
      <c r="C406" s="52" t="str">
        <f>[2]Base!C406</f>
        <v>NM</v>
      </c>
      <c r="D406" s="52" t="str">
        <f>[2]Base!EQ406</f>
        <v>Serv.Méd.Hospit..Análises e Diagnósticos</v>
      </c>
      <c r="E406" s="52" t="str">
        <f>[2]Base!M406</f>
        <v>Bank of America</v>
      </c>
      <c r="F406" s="52" t="str">
        <f>[2]Base!F406</f>
        <v>IPO</v>
      </c>
      <c r="G406" s="52" t="str">
        <f>[2]Base!G406</f>
        <v>ICVM 400</v>
      </c>
      <c r="H406" s="53">
        <f>[2]Base!X406</f>
        <v>44174</v>
      </c>
      <c r="I406" s="54">
        <f>[2]Base!W406</f>
        <v>57.92</v>
      </c>
      <c r="J406" s="55">
        <f>[2]Base!J406</f>
        <v>44175</v>
      </c>
      <c r="K406" s="114">
        <f>[2]Base!BL406</f>
        <v>41258</v>
      </c>
      <c r="L406" s="114">
        <f>[2]Base!DZ406</f>
        <v>43237</v>
      </c>
      <c r="M406" s="57">
        <f>[2]Base!AO406</f>
        <v>8437640047.04</v>
      </c>
      <c r="N406" s="57">
        <f>[2]Base!AP406</f>
        <v>2953173990.4000001</v>
      </c>
      <c r="O406" s="58">
        <f>[2]Base!AQ406</f>
        <v>11390814037.440001</v>
      </c>
      <c r="P406" s="59">
        <f>[2]Base!EF406</f>
        <v>0.10520653062907245</v>
      </c>
      <c r="Q406" s="59">
        <f>[2]Base!EH406</f>
        <v>0.41673076945665166</v>
      </c>
      <c r="R406" s="59">
        <f>[2]Base!EJ406</f>
        <v>0.47035108864301139</v>
      </c>
      <c r="S406" s="60">
        <f>[2]Base!EL406</f>
        <v>7.7116112712644833E-3</v>
      </c>
    </row>
    <row r="407" spans="2:19" ht="13.2" x14ac:dyDescent="0.25">
      <c r="B407" s="51" t="str">
        <f>[2]Base!A407</f>
        <v>NEOGRID</v>
      </c>
      <c r="C407" s="52" t="str">
        <f>[2]Base!C407</f>
        <v>NM</v>
      </c>
      <c r="D407" s="52" t="str">
        <f>[2]Base!EQ407</f>
        <v xml:space="preserve"> Programas e Serviços</v>
      </c>
      <c r="E407" s="52" t="str">
        <f>[2]Base!M407</f>
        <v>Credit Suisse</v>
      </c>
      <c r="F407" s="52" t="str">
        <f>[2]Base!F407</f>
        <v>IPO</v>
      </c>
      <c r="G407" s="52" t="str">
        <f>[2]Base!G407</f>
        <v>ICVM 400</v>
      </c>
      <c r="H407" s="53">
        <f>[2]Base!X407</f>
        <v>44180</v>
      </c>
      <c r="I407" s="54">
        <f>[2]Base!W407</f>
        <v>4.5</v>
      </c>
      <c r="J407" s="55">
        <f>[2]Base!J407</f>
        <v>44183</v>
      </c>
      <c r="K407" s="114">
        <f>[2]Base!BL407</f>
        <v>2747</v>
      </c>
      <c r="L407" s="114">
        <f>[2]Base!DZ407</f>
        <v>2964</v>
      </c>
      <c r="M407" s="57">
        <f>[2]Base!AO407</f>
        <v>337500000</v>
      </c>
      <c r="N407" s="57">
        <f>[2]Base!AP407</f>
        <v>148950000</v>
      </c>
      <c r="O407" s="58">
        <f>[2]Base!AQ407</f>
        <v>486450000</v>
      </c>
      <c r="P407" s="59">
        <f>[2]Base!EF407</f>
        <v>0.18062240518038852</v>
      </c>
      <c r="Q407" s="59">
        <f>[2]Base!EH407</f>
        <v>0.54608746530989827</v>
      </c>
      <c r="R407" s="59">
        <f>[2]Base!EJ407</f>
        <v>0.26540198889916744</v>
      </c>
      <c r="S407" s="60">
        <f>[2]Base!EL407</f>
        <v>7.8881406105457911E-3</v>
      </c>
    </row>
    <row r="408" spans="2:19" ht="13.2" x14ac:dyDescent="0.25">
      <c r="B408" s="51" t="str">
        <f>[2]Base!A408</f>
        <v>LIGHT S/A</v>
      </c>
      <c r="C408" s="52" t="str">
        <f>[2]Base!C408</f>
        <v>NM</v>
      </c>
      <c r="D408" s="52" t="str">
        <f>[2]Base!EQ408</f>
        <v>Energia Elétrica</v>
      </c>
      <c r="E408" s="52" t="str">
        <f>[2]Base!M408</f>
        <v>Itaú BBA</v>
      </c>
      <c r="F408" s="52" t="str">
        <f>[2]Base!F408</f>
        <v>FOLLOW-ON</v>
      </c>
      <c r="G408" s="52" t="str">
        <f>[2]Base!G408</f>
        <v>ICVM 476</v>
      </c>
      <c r="H408" s="53">
        <f>[2]Base!X408</f>
        <v>44215</v>
      </c>
      <c r="I408" s="54">
        <f>[2]Base!W408</f>
        <v>20</v>
      </c>
      <c r="J408" s="55">
        <f>[2]Base!J408</f>
        <v>44217</v>
      </c>
      <c r="K408" s="114">
        <f>[2]Base!BL408</f>
        <v>278</v>
      </c>
      <c r="L408" s="114">
        <f>[2]Base!DZ408</f>
        <v>663</v>
      </c>
      <c r="M408" s="57">
        <f>[2]Base!AO408</f>
        <v>1372425280</v>
      </c>
      <c r="N408" s="57">
        <f>[2]Base!AP408</f>
        <v>1372425280</v>
      </c>
      <c r="O408" s="58">
        <f>[2]Base!AQ408</f>
        <v>2744850560</v>
      </c>
      <c r="P408" s="59">
        <f>[2]Base!EF408</f>
        <v>3.2416190992926039E-3</v>
      </c>
      <c r="Q408" s="59">
        <f>[2]Base!EH408</f>
        <v>0.65935919658955855</v>
      </c>
      <c r="R408" s="59">
        <f>[2]Base!EJ408</f>
        <v>0.33726310404308496</v>
      </c>
      <c r="S408" s="60">
        <f>[2]Base!EL408</f>
        <v>1.3608026806384679E-4</v>
      </c>
    </row>
    <row r="409" spans="2:19" ht="13.2" x14ac:dyDescent="0.25">
      <c r="B409" s="51" t="str">
        <f>[2]Base!A409</f>
        <v>HBRREALTY</v>
      </c>
      <c r="C409" s="52" t="str">
        <f>[2]Base!C409</f>
        <v>NM</v>
      </c>
      <c r="D409" s="52" t="str">
        <f>[2]Base!EQ409</f>
        <v>Exploração de Imóveis</v>
      </c>
      <c r="E409" s="52" t="str">
        <f>[2]Base!M409</f>
        <v>Bradesco BBI</v>
      </c>
      <c r="F409" s="52" t="str">
        <f>[2]Base!F409</f>
        <v>IPO</v>
      </c>
      <c r="G409" s="52" t="str">
        <f>[2]Base!G409</f>
        <v>ICVM 476</v>
      </c>
      <c r="H409" s="53">
        <f>[2]Base!X409</f>
        <v>44217</v>
      </c>
      <c r="I409" s="54">
        <f>[2]Base!W409</f>
        <v>19.100000000000001</v>
      </c>
      <c r="J409" s="55">
        <f>[2]Base!J409</f>
        <v>44222</v>
      </c>
      <c r="K409" s="114">
        <f>[2]Base!BL409</f>
        <v>0</v>
      </c>
      <c r="L409" s="114">
        <f>[2]Base!DZ409</f>
        <v>31</v>
      </c>
      <c r="M409" s="57">
        <f>[2]Base!AO409</f>
        <v>802582000</v>
      </c>
      <c r="N409" s="57">
        <f>[2]Base!AP409</f>
        <v>0</v>
      </c>
      <c r="O409" s="58">
        <f>[2]Base!AQ409</f>
        <v>802582000</v>
      </c>
      <c r="P409" s="59">
        <f>[2]Base!EF409</f>
        <v>0</v>
      </c>
      <c r="Q409" s="59">
        <f>[2]Base!EH409</f>
        <v>0.58781532603522135</v>
      </c>
      <c r="R409" s="59">
        <f>[2]Base!EJ409</f>
        <v>8.7101380295097564E-2</v>
      </c>
      <c r="S409" s="60">
        <f>[2]Base!EL409</f>
        <v>0.32508329366968108</v>
      </c>
    </row>
    <row r="410" spans="2:19" ht="13.2" x14ac:dyDescent="0.25">
      <c r="B410" s="51" t="str">
        <f>[2]Base!A410</f>
        <v>VAMOS</v>
      </c>
      <c r="C410" s="52" t="str">
        <f>[2]Base!C410</f>
        <v>NM</v>
      </c>
      <c r="D410" s="52" t="str">
        <f>[2]Base!EQ410</f>
        <v>Aluguel de carros</v>
      </c>
      <c r="E410" s="52" t="str">
        <f>[2]Base!M410</f>
        <v>BTG Pactual</v>
      </c>
      <c r="F410" s="52" t="str">
        <f>[2]Base!F410</f>
        <v>IPO</v>
      </c>
      <c r="G410" s="52" t="str">
        <f>[2]Base!G410</f>
        <v>ICVM 476</v>
      </c>
      <c r="H410" s="53">
        <f>[2]Base!X410</f>
        <v>44223</v>
      </c>
      <c r="I410" s="54">
        <f>[2]Base!W410</f>
        <v>26</v>
      </c>
      <c r="J410" s="55">
        <f>[2]Base!J410</f>
        <v>44225</v>
      </c>
      <c r="K410" s="114">
        <f>[2]Base!BL410</f>
        <v>0</v>
      </c>
      <c r="L410" s="114">
        <f>[2]Base!DZ410</f>
        <v>60</v>
      </c>
      <c r="M410" s="57">
        <f>[2]Base!AO410</f>
        <v>889598528</v>
      </c>
      <c r="N410" s="57">
        <f>[2]Base!AP410</f>
        <v>415145952</v>
      </c>
      <c r="O410" s="58">
        <f>[2]Base!AQ410</f>
        <v>1304744480</v>
      </c>
      <c r="P410" s="59">
        <f>[2]Base!EF410</f>
        <v>0</v>
      </c>
      <c r="Q410" s="59">
        <f>[2]Base!EH410</f>
        <v>0.42894771242872015</v>
      </c>
      <c r="R410" s="59">
        <f>[2]Base!EJ410</f>
        <v>0.5710522875712799</v>
      </c>
      <c r="S410" s="60">
        <f>[2]Base!EL410</f>
        <v>0</v>
      </c>
    </row>
    <row r="411" spans="2:19" ht="13.2" x14ac:dyDescent="0.25">
      <c r="B411" s="51" t="str">
        <f>[2]Base!A411</f>
        <v>OMEGA GER</v>
      </c>
      <c r="C411" s="52" t="str">
        <f>[2]Base!C411</f>
        <v>NM</v>
      </c>
      <c r="D411" s="52" t="str">
        <f>[2]Base!EQ411</f>
        <v>Energia Elétrica</v>
      </c>
      <c r="E411" s="52" t="str">
        <f>[2]Base!M411</f>
        <v>Itaú BBA</v>
      </c>
      <c r="F411" s="52" t="str">
        <f>[2]Base!F411</f>
        <v>FOLLOW-ON</v>
      </c>
      <c r="G411" s="52" t="str">
        <f>[2]Base!G411</f>
        <v>ICVM 476</v>
      </c>
      <c r="H411" s="53">
        <f>[2]Base!X411</f>
        <v>44224</v>
      </c>
      <c r="I411" s="54">
        <f>[2]Base!W411</f>
        <v>39</v>
      </c>
      <c r="J411" s="55">
        <f>[2]Base!J411</f>
        <v>44229</v>
      </c>
      <c r="K411" s="114">
        <f>[2]Base!BL411</f>
        <v>0</v>
      </c>
      <c r="L411" s="114">
        <f>[2]Base!DZ411</f>
        <v>191</v>
      </c>
      <c r="M411" s="57">
        <f>[2]Base!AO411</f>
        <v>0</v>
      </c>
      <c r="N411" s="57">
        <f>[2]Base!AP411</f>
        <v>954719922</v>
      </c>
      <c r="O411" s="58">
        <f>[2]Base!AQ411</f>
        <v>954719922</v>
      </c>
      <c r="P411" s="59">
        <f>[2]Base!EF411</f>
        <v>0</v>
      </c>
      <c r="Q411" s="59">
        <f>[2]Base!EH411</f>
        <v>0.67180038168303768</v>
      </c>
      <c r="R411" s="59">
        <f>[2]Base!EJ411</f>
        <v>0.31371023804822207</v>
      </c>
      <c r="S411" s="60">
        <f>[2]Base!EL411</f>
        <v>1.4489380268740217E-2</v>
      </c>
    </row>
    <row r="412" spans="2:19" ht="13.2" x14ac:dyDescent="0.25">
      <c r="B412" s="51" t="str">
        <f>[2]Base!A412</f>
        <v>BTGP BANCO</v>
      </c>
      <c r="C412" s="52" t="str">
        <f>[2]Base!C412</f>
        <v>N2</v>
      </c>
      <c r="D412" s="52" t="str">
        <f>[2]Base!EQ412</f>
        <v>Bancos</v>
      </c>
      <c r="E412" s="52" t="str">
        <f>[2]Base!M412</f>
        <v>BTG Pactual</v>
      </c>
      <c r="F412" s="52" t="str">
        <f>[2]Base!F412</f>
        <v>FOLLOW-ON</v>
      </c>
      <c r="G412" s="52" t="str">
        <f>[2]Base!G412</f>
        <v>ICVM 476</v>
      </c>
      <c r="H412" s="53">
        <f>[2]Base!X412</f>
        <v>44217</v>
      </c>
      <c r="I412" s="54">
        <f>[2]Base!W412</f>
        <v>30.84</v>
      </c>
      <c r="J412" s="55">
        <f>[2]Base!J412</f>
        <v>44253</v>
      </c>
      <c r="K412" s="114">
        <f>[2]Base!BL412</f>
        <v>0</v>
      </c>
      <c r="L412" s="114">
        <f>[2]Base!DZ412</f>
        <v>1674</v>
      </c>
      <c r="M412" s="57">
        <f>[2]Base!AO412</f>
        <v>2570000020.5599999</v>
      </c>
      <c r="N412" s="57">
        <f>[2]Base!AP412</f>
        <v>0</v>
      </c>
      <c r="O412" s="58">
        <f>[2]Base!AQ412</f>
        <v>2570000020.5599999</v>
      </c>
      <c r="P412" s="59">
        <f>[2]Base!EF412</f>
        <v>0</v>
      </c>
      <c r="Q412" s="59">
        <f>[2]Base!EH412</f>
        <v>0.45258476037932194</v>
      </c>
      <c r="R412" s="59">
        <f>[2]Base!EJ412</f>
        <v>0.16418192268654463</v>
      </c>
      <c r="S412" s="60">
        <f>[2]Base!EL412</f>
        <v>0.38323331693413348</v>
      </c>
    </row>
    <row r="413" spans="2:19" ht="13.2" x14ac:dyDescent="0.25">
      <c r="B413" s="51" t="str">
        <f>[2]Base!A413</f>
        <v>PETRORIO</v>
      </c>
      <c r="C413" s="52" t="str">
        <f>[2]Base!C413</f>
        <v>NM</v>
      </c>
      <c r="D413" s="52" t="str">
        <f>[2]Base!EQ413</f>
        <v>Exploração. Refino e Distribuição</v>
      </c>
      <c r="E413" s="52" t="str">
        <f>[2]Base!M413</f>
        <v>BTG Pactual</v>
      </c>
      <c r="F413" s="52" t="str">
        <f>[2]Base!F413</f>
        <v>FOLLOW-ON</v>
      </c>
      <c r="G413" s="52" t="str">
        <f>[2]Base!G413</f>
        <v>ICVM 476</v>
      </c>
      <c r="H413" s="53">
        <f>[2]Base!X413</f>
        <v>44224</v>
      </c>
      <c r="I413" s="54">
        <f>[2]Base!W413</f>
        <v>69</v>
      </c>
      <c r="J413" s="55">
        <f>[2]Base!J413</f>
        <v>44228</v>
      </c>
      <c r="K413" s="114">
        <f>[2]Base!BL413</f>
        <v>0</v>
      </c>
      <c r="L413" s="114">
        <f>[2]Base!DZ413</f>
        <v>1499</v>
      </c>
      <c r="M413" s="57">
        <f>[2]Base!AO413</f>
        <v>2049300000</v>
      </c>
      <c r="N413" s="57">
        <f>[2]Base!AP413</f>
        <v>0</v>
      </c>
      <c r="O413" s="58">
        <f>[2]Base!AQ413</f>
        <v>2049300000</v>
      </c>
      <c r="P413" s="59">
        <f>[2]Base!EF413</f>
        <v>0</v>
      </c>
      <c r="Q413" s="59">
        <f>[2]Base!EH413</f>
        <v>0.55884619528619528</v>
      </c>
      <c r="R413" s="59">
        <f>[2]Base!EJ413</f>
        <v>0.1538776430976431</v>
      </c>
      <c r="S413" s="60">
        <f>[2]Base!EL413</f>
        <v>0.2872761616161616</v>
      </c>
    </row>
    <row r="414" spans="2:19" ht="13.2" x14ac:dyDescent="0.25">
      <c r="B414" s="51" t="str">
        <f>[2]Base!A414</f>
        <v>BRASILAGRO</v>
      </c>
      <c r="C414" s="52" t="str">
        <f>[2]Base!C414</f>
        <v>NM</v>
      </c>
      <c r="D414" s="52" t="str">
        <f>[2]Base!EQ414</f>
        <v>Agricultura</v>
      </c>
      <c r="E414" s="52" t="str">
        <f>[2]Base!M414</f>
        <v>BTG Pactual</v>
      </c>
      <c r="F414" s="52" t="str">
        <f>[2]Base!F414</f>
        <v>FOLLOW-ON</v>
      </c>
      <c r="G414" s="52" t="str">
        <f>[2]Base!G414</f>
        <v>ICVM 476</v>
      </c>
      <c r="H414" s="53">
        <f>[2]Base!X414</f>
        <v>44230</v>
      </c>
      <c r="I414" s="54">
        <f>[2]Base!W414</f>
        <v>22</v>
      </c>
      <c r="J414" s="55">
        <f>[2]Base!J414</f>
        <v>44232</v>
      </c>
      <c r="K414" s="114">
        <f>[2]Base!BL414</f>
        <v>0</v>
      </c>
      <c r="L414" s="114">
        <f>[2]Base!DZ414</f>
        <v>550</v>
      </c>
      <c r="M414" s="57">
        <f>[2]Base!AO414</f>
        <v>440000000</v>
      </c>
      <c r="N414" s="57">
        <f>[2]Base!AP414</f>
        <v>60177810</v>
      </c>
      <c r="O414" s="58">
        <f>[2]Base!AQ414</f>
        <v>500177810</v>
      </c>
      <c r="P414" s="59">
        <f>[2]Base!EF414</f>
        <v>0</v>
      </c>
      <c r="Q414" s="59">
        <f>[2]Base!EH414</f>
        <v>0.37493969194674992</v>
      </c>
      <c r="R414" s="59">
        <f>[2]Base!EJ414</f>
        <v>0.48234940690391681</v>
      </c>
      <c r="S414" s="60">
        <f>[2]Base!EL414</f>
        <v>0.14271090114933327</v>
      </c>
    </row>
    <row r="415" spans="2:19" ht="13.2" x14ac:dyDescent="0.25">
      <c r="B415" s="51" t="str">
        <f>[2]Base!A415</f>
        <v>LOCAWEB</v>
      </c>
      <c r="C415" s="52" t="str">
        <f>[2]Base!C415</f>
        <v>NM</v>
      </c>
      <c r="D415" s="52" t="str">
        <f>[2]Base!EQ415</f>
        <v>Programas e Serviços</v>
      </c>
      <c r="E415" s="52" t="str">
        <f>[2]Base!M415</f>
        <v>Itaú BBA</v>
      </c>
      <c r="F415" s="52" t="str">
        <f>[2]Base!F415</f>
        <v>FOLLOW-ON</v>
      </c>
      <c r="G415" s="52" t="str">
        <f>[2]Base!G415</f>
        <v>ICVM 476</v>
      </c>
      <c r="H415" s="53">
        <f>[2]Base!X415</f>
        <v>44236</v>
      </c>
      <c r="I415" s="54">
        <f>[2]Base!W415</f>
        <v>30</v>
      </c>
      <c r="J415" s="55">
        <f>[2]Base!J415</f>
        <v>44238</v>
      </c>
      <c r="K415" s="114">
        <f>[2]Base!BL415</f>
        <v>1530</v>
      </c>
      <c r="L415" s="114">
        <f>[2]Base!DZ415</f>
        <v>2638</v>
      </c>
      <c r="M415" s="57">
        <f>[2]Base!AO415</f>
        <v>2346000000</v>
      </c>
      <c r="N415" s="57">
        <f>[2]Base!AP415</f>
        <v>408000000</v>
      </c>
      <c r="O415" s="58">
        <f>[2]Base!AQ415</f>
        <v>2754000000</v>
      </c>
      <c r="P415" s="59">
        <f>[2]Base!EF415</f>
        <v>6.4046949891067538E-3</v>
      </c>
      <c r="Q415" s="59">
        <f>[2]Base!EH415</f>
        <v>0.37809911764705884</v>
      </c>
      <c r="R415" s="59">
        <f>[2]Base!EJ415</f>
        <v>0.6119605664488017</v>
      </c>
      <c r="S415" s="60">
        <f>[2]Base!EL415</f>
        <v>3.5356209150326796E-3</v>
      </c>
    </row>
    <row r="416" spans="2:19" ht="13.2" x14ac:dyDescent="0.25">
      <c r="B416" s="51" t="str">
        <f>[2]Base!A416</f>
        <v>ESPACOLASER</v>
      </c>
      <c r="C416" s="52" t="str">
        <f>[2]Base!C416</f>
        <v>NM</v>
      </c>
      <c r="D416" s="52" t="str">
        <f>[2]Base!EQ416</f>
        <v>Produtos Diversos</v>
      </c>
      <c r="E416" s="52" t="str">
        <f>[2]Base!M416</f>
        <v>Itaú BBA</v>
      </c>
      <c r="F416" s="52" t="str">
        <f>[2]Base!F416</f>
        <v>IPO</v>
      </c>
      <c r="G416" s="52" t="str">
        <f>[2]Base!G416</f>
        <v>ICVM 400</v>
      </c>
      <c r="H416" s="53">
        <f>[2]Base!X416</f>
        <v>44224</v>
      </c>
      <c r="I416" s="54">
        <f>[2]Base!W416</f>
        <v>17.899999999999999</v>
      </c>
      <c r="J416" s="55">
        <f>[2]Base!J416</f>
        <v>44228</v>
      </c>
      <c r="K416" s="114">
        <f>[2]Base!BL416</f>
        <v>7135</v>
      </c>
      <c r="L416" s="114">
        <f>[2]Base!DZ416</f>
        <v>7837</v>
      </c>
      <c r="M416" s="57">
        <f>[2]Base!AO416</f>
        <v>1199999997.3999999</v>
      </c>
      <c r="N416" s="57">
        <f>[2]Base!AP416</f>
        <v>1441623254.7999997</v>
      </c>
      <c r="O416" s="58">
        <f>[2]Base!AQ416</f>
        <v>2641623252.1999998</v>
      </c>
      <c r="P416" s="59">
        <f>[2]Base!EF416</f>
        <v>9.7176107412823759E-2</v>
      </c>
      <c r="Q416" s="59">
        <f>[2]Base!EH416</f>
        <v>0.62087119324607831</v>
      </c>
      <c r="R416" s="59">
        <f>[2]Base!EJ416</f>
        <v>0.27451244714630396</v>
      </c>
      <c r="S416" s="60">
        <f>[2]Base!EL416</f>
        <v>7.440252194794033E-3</v>
      </c>
    </row>
    <row r="417" spans="2:19" ht="13.2" x14ac:dyDescent="0.25">
      <c r="B417" s="51" t="str">
        <f>[2]Base!A417</f>
        <v>INTELBRAS</v>
      </c>
      <c r="C417" s="52" t="str">
        <f>[2]Base!C417</f>
        <v>NM</v>
      </c>
      <c r="D417" s="52" t="str">
        <f>[2]Base!EQ417</f>
        <v>Computadores e Equipamentos</v>
      </c>
      <c r="E417" s="52" t="str">
        <f>[2]Base!M417</f>
        <v>BTG Pactual</v>
      </c>
      <c r="F417" s="52" t="str">
        <f>[2]Base!F417</f>
        <v>IPO</v>
      </c>
      <c r="G417" s="52" t="str">
        <f>[2]Base!G417</f>
        <v>ICVM 400</v>
      </c>
      <c r="H417" s="53">
        <f>[2]Base!X417</f>
        <v>44229</v>
      </c>
      <c r="I417" s="54">
        <f>[2]Base!W417</f>
        <v>15.75</v>
      </c>
      <c r="J417" s="55">
        <f>[2]Base!J417</f>
        <v>44231</v>
      </c>
      <c r="K417" s="114">
        <f>[2]Base!BL417</f>
        <v>16772</v>
      </c>
      <c r="L417" s="114">
        <f>[2]Base!DZ417</f>
        <v>17280</v>
      </c>
      <c r="M417" s="57">
        <f>[2]Base!AO417</f>
        <v>724500000</v>
      </c>
      <c r="N417" s="57">
        <f>[2]Base!AP417</f>
        <v>579600000</v>
      </c>
      <c r="O417" s="58">
        <f>[2]Base!AQ417</f>
        <v>1304100000</v>
      </c>
      <c r="P417" s="59">
        <f>[2]Base!EF417</f>
        <v>0.11571812801932367</v>
      </c>
      <c r="Q417" s="59">
        <f>[2]Base!EH417</f>
        <v>0.7701834541062802</v>
      </c>
      <c r="R417" s="59">
        <f>[2]Base!EJ417</f>
        <v>0.12442478260869565</v>
      </c>
      <c r="S417" s="60">
        <f>[2]Base!EL417</f>
        <v>0</v>
      </c>
    </row>
    <row r="418" spans="2:19" ht="13.2" x14ac:dyDescent="0.25">
      <c r="B418" s="51" t="str">
        <f>[2]Base!A418</f>
        <v>MOSAICO</v>
      </c>
      <c r="C418" s="52" t="str">
        <f>[2]Base!C418</f>
        <v>NM</v>
      </c>
      <c r="D418" s="52" t="str">
        <f>[2]Base!EQ418</f>
        <v>Programas e Serviços</v>
      </c>
      <c r="E418" s="52" t="str">
        <f>[2]Base!M418</f>
        <v>BTG Pactual</v>
      </c>
      <c r="F418" s="52" t="str">
        <f>[2]Base!F418</f>
        <v>IPO</v>
      </c>
      <c r="G418" s="52" t="str">
        <f>[2]Base!G418</f>
        <v>ICVM 400</v>
      </c>
      <c r="H418" s="53">
        <f>[2]Base!X418</f>
        <v>44230</v>
      </c>
      <c r="I418" s="54">
        <f>[2]Base!W418</f>
        <v>19.8</v>
      </c>
      <c r="J418" s="55">
        <f>[2]Base!J418</f>
        <v>44232</v>
      </c>
      <c r="K418" s="114">
        <f>[2]Base!BL418</f>
        <v>31017</v>
      </c>
      <c r="L418" s="114">
        <f>[2]Base!DZ418</f>
        <v>32377</v>
      </c>
      <c r="M418" s="57">
        <f>[2]Base!AO418</f>
        <v>578571444</v>
      </c>
      <c r="N418" s="57">
        <f>[2]Base!AP418</f>
        <v>636428667.60000002</v>
      </c>
      <c r="O418" s="58">
        <f>[2]Base!AQ418</f>
        <v>1215000111.5999999</v>
      </c>
      <c r="P418" s="59">
        <f>[2]Base!EF418</f>
        <v>0.11398399397480351</v>
      </c>
      <c r="Q418" s="59">
        <f>[2]Base!EH418</f>
        <v>0.72383819721782483</v>
      </c>
      <c r="R418" s="59">
        <f>[2]Base!EJ418</f>
        <v>0.15387323327386596</v>
      </c>
      <c r="S418" s="60">
        <f>[2]Base!EL418</f>
        <v>8.3045755335056544E-3</v>
      </c>
    </row>
    <row r="419" spans="2:19" ht="13.2" x14ac:dyDescent="0.25">
      <c r="B419" s="51" t="str">
        <f>[2]Base!A419</f>
        <v>MOBLY</v>
      </c>
      <c r="C419" s="52" t="str">
        <f>[2]Base!C419</f>
        <v>NM</v>
      </c>
      <c r="D419" s="52" t="str">
        <f>[2]Base!EQ419</f>
        <v>Programas e Serviços</v>
      </c>
      <c r="E419" s="52" t="str">
        <f>[2]Base!M419</f>
        <v>Morgan Stanley</v>
      </c>
      <c r="F419" s="52" t="str">
        <f>[2]Base!F419</f>
        <v>IPO</v>
      </c>
      <c r="G419" s="52" t="str">
        <f>[2]Base!G419</f>
        <v>ICVM 400</v>
      </c>
      <c r="H419" s="53">
        <f>[2]Base!X419</f>
        <v>44230</v>
      </c>
      <c r="I419" s="54">
        <f>[2]Base!W419</f>
        <v>21</v>
      </c>
      <c r="J419" s="55">
        <f>[2]Base!J419</f>
        <v>44232</v>
      </c>
      <c r="K419" s="114">
        <f>[2]Base!BL419</f>
        <v>3249</v>
      </c>
      <c r="L419" s="114">
        <f>[2]Base!DZ419</f>
        <v>3591</v>
      </c>
      <c r="M419" s="57">
        <f>[2]Base!AO419</f>
        <v>777777798</v>
      </c>
      <c r="N419" s="57">
        <f>[2]Base!AP419</f>
        <v>155555547</v>
      </c>
      <c r="O419" s="58">
        <f>[2]Base!AQ419</f>
        <v>933333345</v>
      </c>
      <c r="P419" s="59">
        <f>[2]Base!EF419</f>
        <v>9.5778246302771916E-2</v>
      </c>
      <c r="Q419" s="59">
        <f>[2]Base!EH419</f>
        <v>0.37631791779602602</v>
      </c>
      <c r="R419" s="59">
        <f>[2]Base!EJ419</f>
        <v>0.44151364698107942</v>
      </c>
      <c r="S419" s="60">
        <f>[2]Base!EL419</f>
        <v>8.6390188920122638E-2</v>
      </c>
    </row>
    <row r="420" spans="2:19" ht="13.2" x14ac:dyDescent="0.25">
      <c r="B420" s="51" t="str">
        <f>[2]Base!A420</f>
        <v>JALLESMACHADO</v>
      </c>
      <c r="C420" s="52" t="str">
        <f>[2]Base!C420</f>
        <v>NM</v>
      </c>
      <c r="D420" s="52" t="str">
        <f>[2]Base!EQ420</f>
        <v>Açucar e Alcool</v>
      </c>
      <c r="E420" s="52" t="str">
        <f>[2]Base!M420</f>
        <v>XP Investimentos</v>
      </c>
      <c r="F420" s="52" t="str">
        <f>[2]Base!F420</f>
        <v>IPO</v>
      </c>
      <c r="G420" s="52" t="str">
        <f>[2]Base!G420</f>
        <v>ICVM 400</v>
      </c>
      <c r="H420" s="53">
        <f>[2]Base!X420</f>
        <v>44231</v>
      </c>
      <c r="I420" s="54">
        <f>[2]Base!W420</f>
        <v>8.3000000000000007</v>
      </c>
      <c r="J420" s="55">
        <f>[2]Base!J420</f>
        <v>44235</v>
      </c>
      <c r="K420" s="114">
        <f>[2]Base!BL420</f>
        <v>3985</v>
      </c>
      <c r="L420" s="114">
        <f>[2]Base!DZ420</f>
        <v>4465</v>
      </c>
      <c r="M420" s="57">
        <f>[2]Base!AO420</f>
        <v>552760005.30000007</v>
      </c>
      <c r="N420" s="57">
        <f>[2]Base!AP420</f>
        <v>138189995.10000002</v>
      </c>
      <c r="O420" s="58">
        <f>[2]Base!AQ420</f>
        <v>690950000.4000001</v>
      </c>
      <c r="P420" s="59">
        <f>[2]Base!EF420</f>
        <v>9.4690080946900818E-2</v>
      </c>
      <c r="Q420" s="59">
        <f>[2]Base!EH420</f>
        <v>0.59891578348915786</v>
      </c>
      <c r="R420" s="59">
        <f>[2]Base!EJ420</f>
        <v>0.29106532416065323</v>
      </c>
      <c r="S420" s="60">
        <f>[2]Base!EL420</f>
        <v>1.5328811403288112E-2</v>
      </c>
    </row>
    <row r="421" spans="2:19" ht="13.2" x14ac:dyDescent="0.25">
      <c r="B421" s="51" t="str">
        <f>[2]Base!A421</f>
        <v>FOCUS ON</v>
      </c>
      <c r="C421" s="52" t="str">
        <f>[2]Base!C421</f>
        <v>NM</v>
      </c>
      <c r="D421" s="52" t="str">
        <f>[2]Base!EQ421</f>
        <v>Energia Elétrica</v>
      </c>
      <c r="E421" s="52" t="str">
        <f>[2]Base!M421</f>
        <v>Morgan Stanley</v>
      </c>
      <c r="F421" s="52" t="str">
        <f>[2]Base!F421</f>
        <v>IPO</v>
      </c>
      <c r="G421" s="52" t="str">
        <f>[2]Base!G421</f>
        <v>ICVM 400</v>
      </c>
      <c r="H421" s="53">
        <f>[2]Base!X421</f>
        <v>44217</v>
      </c>
      <c r="I421" s="54">
        <f>[2]Base!W421</f>
        <v>18.02</v>
      </c>
      <c r="J421" s="55">
        <f>[2]Base!J421</f>
        <v>44235</v>
      </c>
      <c r="K421" s="114">
        <f>[2]Base!BL421</f>
        <v>1776</v>
      </c>
      <c r="L421" s="114">
        <f>[2]Base!DZ421</f>
        <v>2019</v>
      </c>
      <c r="M421" s="57">
        <f>[2]Base!AO421</f>
        <v>764999996.60000002</v>
      </c>
      <c r="N421" s="57">
        <f>[2]Base!AP421</f>
        <v>7649994.5599999996</v>
      </c>
      <c r="O421" s="58">
        <f>[2]Base!AQ421</f>
        <v>772649991.15999997</v>
      </c>
      <c r="P421" s="59">
        <f>[2]Base!EF421</f>
        <v>0.10764379418113598</v>
      </c>
      <c r="Q421" s="59">
        <f>[2]Base!EH421</f>
        <v>0.41945926921486615</v>
      </c>
      <c r="R421" s="59">
        <f>[2]Base!EJ421</f>
        <v>0.46889423843689226</v>
      </c>
      <c r="S421" s="60">
        <f>[2]Base!EL421</f>
        <v>4.0026981671056321E-3</v>
      </c>
    </row>
    <row r="422" spans="2:19" ht="13.2" x14ac:dyDescent="0.25">
      <c r="B422" s="51" t="str">
        <f>[2]Base!A422</f>
        <v>CRUZEIRO SUL</v>
      </c>
      <c r="C422" s="52" t="str">
        <f>[2]Base!C422</f>
        <v>NM</v>
      </c>
      <c r="D422" s="52" t="str">
        <f>[2]Base!EQ422</f>
        <v>Serviços Educacionais</v>
      </c>
      <c r="E422" s="52" t="str">
        <f>[2]Base!M422</f>
        <v>BTG Pactual</v>
      </c>
      <c r="F422" s="52" t="str">
        <f>[2]Base!F422</f>
        <v>IPO</v>
      </c>
      <c r="G422" s="52" t="str">
        <f>[2]Base!G422</f>
        <v>ICVM 400</v>
      </c>
      <c r="H422" s="53">
        <f>[2]Base!X422</f>
        <v>44236</v>
      </c>
      <c r="I422" s="54">
        <f>[2]Base!W422</f>
        <v>14</v>
      </c>
      <c r="J422" s="55">
        <f>[2]Base!J422</f>
        <v>44238</v>
      </c>
      <c r="K422" s="114">
        <f>[2]Base!BL422</f>
        <v>2517</v>
      </c>
      <c r="L422" s="114">
        <f>[2]Base!DZ422</f>
        <v>2763</v>
      </c>
      <c r="M422" s="57">
        <f>[2]Base!AO422</f>
        <v>1071000000</v>
      </c>
      <c r="N422" s="57">
        <f>[2]Base!AP422</f>
        <v>160650000</v>
      </c>
      <c r="O422" s="58">
        <f>[2]Base!AQ422</f>
        <v>1231650000</v>
      </c>
      <c r="P422" s="59">
        <f>[2]Base!EF422</f>
        <v>8.5581823070060736E-2</v>
      </c>
      <c r="Q422" s="59">
        <f>[2]Base!EH422</f>
        <v>0.51325041651900105</v>
      </c>
      <c r="R422" s="59">
        <f>[2]Base!EJ422</f>
        <v>0.29283083218255956</v>
      </c>
      <c r="S422" s="60">
        <f>[2]Base!EL422</f>
        <v>4.2601339378459963E-3</v>
      </c>
    </row>
    <row r="423" spans="2:19" ht="13.2" x14ac:dyDescent="0.25">
      <c r="B423" s="51" t="str">
        <f>[2]Base!A423</f>
        <v>OCEANPACT</v>
      </c>
      <c r="C423" s="52" t="str">
        <f>[2]Base!C423</f>
        <v>NM</v>
      </c>
      <c r="D423" s="52" t="str">
        <f>[2]Base!EQ423</f>
        <v>Equipamentos e Serviços</v>
      </c>
      <c r="E423" s="52" t="str">
        <f>[2]Base!M423</f>
        <v>Itaú BBA</v>
      </c>
      <c r="F423" s="52" t="str">
        <f>[2]Base!F423</f>
        <v>IPO</v>
      </c>
      <c r="G423" s="52" t="str">
        <f>[2]Base!G423</f>
        <v>ICVM 400</v>
      </c>
      <c r="H423" s="53">
        <f>[2]Base!X423</f>
        <v>44237</v>
      </c>
      <c r="I423" s="54">
        <f>[2]Base!W423</f>
        <v>11.15</v>
      </c>
      <c r="J423" s="55">
        <f>[2]Base!J423</f>
        <v>44239</v>
      </c>
      <c r="K423" s="114">
        <f>[2]Base!BL423</f>
        <v>2831</v>
      </c>
      <c r="L423" s="114">
        <f>[2]Base!DZ423</f>
        <v>3114</v>
      </c>
      <c r="M423" s="57">
        <f>[2]Base!AO423</f>
        <v>800000000.85000002</v>
      </c>
      <c r="N423" s="57">
        <f>[2]Base!AP423</f>
        <v>270000004.05000001</v>
      </c>
      <c r="O423" s="58">
        <f>[2]Base!AQ423</f>
        <v>1070000004.9000001</v>
      </c>
      <c r="P423" s="59">
        <f>[2]Base!EF423</f>
        <v>0.11195127376869271</v>
      </c>
      <c r="Q423" s="59">
        <f>[2]Base!EH423</f>
        <v>0.76251232897545029</v>
      </c>
      <c r="R423" s="59">
        <f>[2]Base!EJ423</f>
        <v>0.12184188130112092</v>
      </c>
      <c r="S423" s="60">
        <f>[2]Base!EL423</f>
        <v>3.6945159547361181E-3</v>
      </c>
    </row>
    <row r="424" spans="2:19" ht="13.2" x14ac:dyDescent="0.25">
      <c r="B424" s="51" t="str">
        <f>[2]Base!A424</f>
        <v>ORIZON</v>
      </c>
      <c r="C424" s="52" t="str">
        <f>[2]Base!C424</f>
        <v>NM</v>
      </c>
      <c r="D424" s="52" t="str">
        <f>[2]Base!EQ424</f>
        <v>Água e Saneamento</v>
      </c>
      <c r="E424" s="52" t="str">
        <f>[2]Base!M424</f>
        <v>Credit Suisse</v>
      </c>
      <c r="F424" s="52" t="str">
        <f>[2]Base!F424</f>
        <v>IPO</v>
      </c>
      <c r="G424" s="52" t="str">
        <f>[2]Base!G424</f>
        <v>ICVM 400</v>
      </c>
      <c r="H424" s="53">
        <f>[2]Base!X424</f>
        <v>44238</v>
      </c>
      <c r="I424" s="54">
        <f>[2]Base!W424</f>
        <v>22</v>
      </c>
      <c r="J424" s="55">
        <f>[2]Base!J424</f>
        <v>44244</v>
      </c>
      <c r="K424" s="114">
        <f>[2]Base!BL424</f>
        <v>4867</v>
      </c>
      <c r="L424" s="114">
        <f>[2]Base!DZ424</f>
        <v>5233</v>
      </c>
      <c r="M424" s="57">
        <f>[2]Base!AO424</f>
        <v>381399040</v>
      </c>
      <c r="N424" s="57">
        <f>[2]Base!AP424</f>
        <v>105465778</v>
      </c>
      <c r="O424" s="58">
        <f>[2]Base!AQ424</f>
        <v>486864818</v>
      </c>
      <c r="P424" s="59">
        <f>[2]Base!EF424</f>
        <v>0.16893483180195071</v>
      </c>
      <c r="Q424" s="59">
        <f>[2]Base!EH424</f>
        <v>0.52484073412799037</v>
      </c>
      <c r="R424" s="59">
        <f>[2]Base!EJ424</f>
        <v>0.28380371990175757</v>
      </c>
      <c r="S424" s="60">
        <f>[2]Base!EL424</f>
        <v>2.2420714168301346E-2</v>
      </c>
    </row>
    <row r="425" spans="2:19" ht="13.2" x14ac:dyDescent="0.25">
      <c r="B425" s="51" t="str">
        <f>[2]Base!A425</f>
        <v>ELETROMIDIA</v>
      </c>
      <c r="C425" s="52" t="str">
        <f>[2]Base!C425</f>
        <v>NM</v>
      </c>
      <c r="D425" s="52" t="str">
        <f>[2]Base!EQ425</f>
        <v>Publicidade e Propaganda</v>
      </c>
      <c r="E425" s="52" t="str">
        <f>[2]Base!M425</f>
        <v>Morgan Stanley</v>
      </c>
      <c r="F425" s="52" t="str">
        <f>[2]Base!F425</f>
        <v>IPO</v>
      </c>
      <c r="G425" s="52" t="str">
        <f>[2]Base!G425</f>
        <v>ICVM 400</v>
      </c>
      <c r="H425" s="53">
        <f>[2]Base!X425</f>
        <v>44238</v>
      </c>
      <c r="I425" s="54">
        <f>[2]Base!W425</f>
        <v>17.809999999999999</v>
      </c>
      <c r="J425" s="55">
        <f>[2]Base!J425</f>
        <v>44244</v>
      </c>
      <c r="K425" s="114">
        <f>[2]Base!BL425</f>
        <v>2769</v>
      </c>
      <c r="L425" s="114">
        <f>[2]Base!DZ425</f>
        <v>3019</v>
      </c>
      <c r="M425" s="57">
        <f>[2]Base!AO425</f>
        <v>700000001.21999991</v>
      </c>
      <c r="N425" s="57">
        <f>[2]Base!AP425</f>
        <v>57944300.699999996</v>
      </c>
      <c r="O425" s="58">
        <f>[2]Base!AQ425</f>
        <v>757944301.91999996</v>
      </c>
      <c r="P425" s="59">
        <f>[2]Base!EF425</f>
        <v>9.0998319276082373E-2</v>
      </c>
      <c r="Q425" s="59">
        <f>[2]Base!EH425</f>
        <v>0.49990118677220252</v>
      </c>
      <c r="R425" s="59">
        <f>[2]Base!EJ425</f>
        <v>0.40461818209161043</v>
      </c>
      <c r="S425" s="60">
        <f>[2]Base!EL425</f>
        <v>4.4823118601046621E-3</v>
      </c>
    </row>
    <row r="426" spans="2:19" ht="13.2" x14ac:dyDescent="0.25">
      <c r="B426" s="51" t="str">
        <f>[2]Base!A426</f>
        <v>BEMOBI TECH</v>
      </c>
      <c r="C426" s="52" t="str">
        <f>[2]Base!C426</f>
        <v>NM</v>
      </c>
      <c r="D426" s="52" t="str">
        <f>[2]Base!EQ426</f>
        <v>Programas e Serviços</v>
      </c>
      <c r="E426" s="52" t="str">
        <f>[2]Base!M426</f>
        <v>BTG Pactual</v>
      </c>
      <c r="F426" s="52" t="str">
        <f>[2]Base!F426</f>
        <v>IPO</v>
      </c>
      <c r="G426" s="52" t="str">
        <f>[2]Base!G426</f>
        <v>ICVM 400</v>
      </c>
      <c r="H426" s="53">
        <f>[2]Base!X426</f>
        <v>44235</v>
      </c>
      <c r="I426" s="54">
        <f>[2]Base!W426</f>
        <v>22</v>
      </c>
      <c r="J426" s="55">
        <f>[2]Base!J426</f>
        <v>44237</v>
      </c>
      <c r="K426" s="114">
        <f>[2]Base!BL426</f>
        <v>12697</v>
      </c>
      <c r="L426" s="114">
        <f>[2]Base!DZ426</f>
        <v>13620</v>
      </c>
      <c r="M426" s="57">
        <f>[2]Base!AO426</f>
        <v>1094117684</v>
      </c>
      <c r="N426" s="57">
        <f>[2]Base!AP426</f>
        <v>164117646</v>
      </c>
      <c r="O426" s="58">
        <f>[2]Base!AQ426</f>
        <v>1258235330</v>
      </c>
      <c r="P426" s="59">
        <f>[2]Base!EF426</f>
        <v>0.11008118807155097</v>
      </c>
      <c r="Q426" s="59">
        <f>[2]Base!EH426</f>
        <v>0.76181171609606602</v>
      </c>
      <c r="R426" s="59">
        <f>[2]Base!EJ426</f>
        <v>0.12747788762218273</v>
      </c>
      <c r="S426" s="60">
        <f>[2]Base!EL426</f>
        <v>6.2920821020023333E-4</v>
      </c>
    </row>
    <row r="427" spans="2:19" ht="13.2" x14ac:dyDescent="0.25">
      <c r="B427" s="51" t="str">
        <f>[2]Base!A427</f>
        <v>CSNMINERACAO</v>
      </c>
      <c r="C427" s="52" t="str">
        <f>[2]Base!C427</f>
        <v>N2</v>
      </c>
      <c r="D427" s="52" t="str">
        <f>[2]Base!EQ427</f>
        <v>Minerais Metálicos</v>
      </c>
      <c r="E427" s="52" t="str">
        <f>[2]Base!M427</f>
        <v>Morgan Stanley</v>
      </c>
      <c r="F427" s="52" t="str">
        <f>[2]Base!F427</f>
        <v>IPO</v>
      </c>
      <c r="G427" s="52" t="str">
        <f>[2]Base!G427</f>
        <v>ICVM 400</v>
      </c>
      <c r="H427" s="53">
        <f>[2]Base!X427</f>
        <v>44239</v>
      </c>
      <c r="I427" s="54">
        <f>[2]Base!W427</f>
        <v>8.5</v>
      </c>
      <c r="J427" s="55">
        <f>[2]Base!J427</f>
        <v>44245</v>
      </c>
      <c r="K427" s="114">
        <f>[2]Base!BL427</f>
        <v>66255</v>
      </c>
      <c r="L427" s="114">
        <f>[2]Base!DZ427</f>
        <v>67524</v>
      </c>
      <c r="M427" s="57">
        <f>[2]Base!AO427</f>
        <v>1796903408.5</v>
      </c>
      <c r="N427" s="57">
        <f>[2]Base!AP427</f>
        <v>3168372815.5</v>
      </c>
      <c r="O427" s="58">
        <f>[2]Base!AQ427</f>
        <v>4965276224</v>
      </c>
      <c r="P427" s="59">
        <f>[2]Base!EF427</f>
        <v>0.19860505953031804</v>
      </c>
      <c r="Q427" s="59">
        <f>[2]Base!EH427</f>
        <v>0.28802972580913372</v>
      </c>
      <c r="R427" s="59">
        <f>[2]Base!EJ427</f>
        <v>0.50339133138008563</v>
      </c>
      <c r="S427" s="60">
        <f>[2]Base!EL427</f>
        <v>9.9738832804625952E-3</v>
      </c>
    </row>
    <row r="428" spans="2:19" ht="13.2" x14ac:dyDescent="0.25">
      <c r="B428" s="51" t="str">
        <f>[2]Base!A428</f>
        <v>WESTWING</v>
      </c>
      <c r="C428" s="52" t="str">
        <f>[2]Base!C428</f>
        <v>NM</v>
      </c>
      <c r="D428" s="52" t="str">
        <f>[2]Base!EQ428</f>
        <v>Programas e Serviços</v>
      </c>
      <c r="E428" s="52" t="str">
        <f>[2]Base!M428</f>
        <v>BTG Pactual</v>
      </c>
      <c r="F428" s="52" t="str">
        <f>[2]Base!F428</f>
        <v>IPO</v>
      </c>
      <c r="G428" s="52" t="str">
        <f>[2]Base!G428</f>
        <v>ICVM 400</v>
      </c>
      <c r="H428" s="53">
        <f>[2]Base!X428</f>
        <v>44235</v>
      </c>
      <c r="I428" s="54">
        <f>[2]Base!W428</f>
        <v>13</v>
      </c>
      <c r="J428" s="55">
        <f>[2]Base!J428</f>
        <v>44238</v>
      </c>
      <c r="K428" s="114">
        <f>[2]Base!BL428</f>
        <v>8368</v>
      </c>
      <c r="L428" s="114">
        <f>[2]Base!DZ428</f>
        <v>9130</v>
      </c>
      <c r="M428" s="57">
        <f>[2]Base!AO428</f>
        <v>430294306</v>
      </c>
      <c r="N428" s="57">
        <f>[2]Base!AP428</f>
        <v>602412018</v>
      </c>
      <c r="O428" s="58">
        <f>[2]Base!AQ428</f>
        <v>1032706324</v>
      </c>
      <c r="P428" s="59">
        <f>[2]Base!EF428</f>
        <v>0.12000294375613077</v>
      </c>
      <c r="Q428" s="59">
        <f>[2]Base!EH428</f>
        <v>0.76901535766122264</v>
      </c>
      <c r="R428" s="59">
        <f>[2]Base!EJ428</f>
        <v>0.11066362342766184</v>
      </c>
      <c r="S428" s="60">
        <f>[2]Base!EL428</f>
        <v>3.1807515498470966E-4</v>
      </c>
    </row>
    <row r="429" spans="2:19" ht="13.2" x14ac:dyDescent="0.25">
      <c r="B429" s="51" t="str">
        <f>[2]Base!A429</f>
        <v>3R PETROLEUM</v>
      </c>
      <c r="C429" s="52" t="str">
        <f>[2]Base!C429</f>
        <v>NM</v>
      </c>
      <c r="D429" s="52" t="str">
        <f>[2]Base!EQ429</f>
        <v>Exploração. Refino e Distribuição</v>
      </c>
      <c r="E429" s="52" t="str">
        <f>[2]Base!M429</f>
        <v>BTG Pactual</v>
      </c>
      <c r="F429" s="52" t="str">
        <f>[2]Base!F429</f>
        <v>FOLLOW-ON</v>
      </c>
      <c r="G429" s="52" t="str">
        <f>[2]Base!G429</f>
        <v>ICVM 476</v>
      </c>
      <c r="H429" s="53">
        <f>[2]Base!X429</f>
        <v>44285</v>
      </c>
      <c r="I429" s="54">
        <f>[2]Base!W429</f>
        <v>36</v>
      </c>
      <c r="J429" s="55">
        <f>[2]Base!J429</f>
        <v>44287</v>
      </c>
      <c r="K429" s="114">
        <f>[2]Base!BL429</f>
        <v>0</v>
      </c>
      <c r="L429" s="114">
        <f>[2]Base!DZ429</f>
        <v>1184</v>
      </c>
      <c r="M429" s="57">
        <f>[2]Base!AO429</f>
        <v>822798000</v>
      </c>
      <c r="N429" s="57">
        <f>[2]Base!AP429</f>
        <v>0</v>
      </c>
      <c r="O429" s="58">
        <f>[2]Base!AQ429</f>
        <v>822798000</v>
      </c>
      <c r="P429" s="59">
        <f>[2]Base!EF429</f>
        <v>9.6256918466014745E-5</v>
      </c>
      <c r="Q429" s="59">
        <f>[2]Base!EH429</f>
        <v>0.6228496860711864</v>
      </c>
      <c r="R429" s="59">
        <f>[2]Base!EJ429</f>
        <v>0.23298549583251296</v>
      </c>
      <c r="S429" s="60">
        <f>[2]Base!EL429</f>
        <v>0.14406856117783465</v>
      </c>
    </row>
    <row r="430" spans="2:19" ht="13.2" x14ac:dyDescent="0.25">
      <c r="B430" s="51" t="str">
        <f>[2]Base!A430</f>
        <v>DASA</v>
      </c>
      <c r="C430" s="52" t="str">
        <f>[2]Base!C430</f>
        <v>BÁSICO</v>
      </c>
      <c r="D430" s="52" t="str">
        <f>[2]Base!EQ430</f>
        <v>Serv. Méd. Hospit., Análises e Diagnósticos</v>
      </c>
      <c r="E430" s="52" t="str">
        <f>[2]Base!M430</f>
        <v>Bradesco BBI</v>
      </c>
      <c r="F430" s="52" t="str">
        <f>[2]Base!F430</f>
        <v>FOLLOW-ON</v>
      </c>
      <c r="G430" s="52" t="str">
        <f>[2]Base!G430</f>
        <v>ICVM 476</v>
      </c>
      <c r="H430" s="53">
        <f>[2]Base!X430</f>
        <v>44293</v>
      </c>
      <c r="I430" s="54">
        <f>[2]Base!W430</f>
        <v>58</v>
      </c>
      <c r="J430" s="55">
        <f>[2]Base!J430</f>
        <v>44294</v>
      </c>
      <c r="K430" s="114">
        <f>[2]Base!BL430</f>
        <v>35</v>
      </c>
      <c r="L430" s="114">
        <f>[2]Base!DZ430</f>
        <v>287</v>
      </c>
      <c r="M430" s="57">
        <f>[2]Base!AO430</f>
        <v>3666272974</v>
      </c>
      <c r="N430" s="57">
        <f>[2]Base!AP430</f>
        <v>120734888</v>
      </c>
      <c r="O430" s="58">
        <f>[2]Base!AQ430</f>
        <v>3787007862</v>
      </c>
      <c r="P430" s="59">
        <f>[2]Base!EF430</f>
        <v>1.75500559866543E-4</v>
      </c>
      <c r="Q430" s="59">
        <f>[2]Base!EH430</f>
        <v>0.21457786770235124</v>
      </c>
      <c r="R430" s="59">
        <f>[2]Base!EJ430</f>
        <v>0.52594658384155213</v>
      </c>
      <c r="S430" s="60">
        <f>[2]Base!EL430</f>
        <v>0.26342822416881478</v>
      </c>
    </row>
    <row r="431" spans="2:19" ht="13.2" x14ac:dyDescent="0.25">
      <c r="B431" s="51" t="str">
        <f>[2]Base!A431</f>
        <v>ALLIED</v>
      </c>
      <c r="C431" s="52" t="str">
        <f>[2]Base!C431</f>
        <v>NM</v>
      </c>
      <c r="D431" s="52" t="str">
        <f>[2]Base!EQ431</f>
        <v>Eletrodomésticos</v>
      </c>
      <c r="E431" s="52" t="str">
        <f>[2]Base!M431</f>
        <v>BTG Pactual</v>
      </c>
      <c r="F431" s="52" t="str">
        <f>[2]Base!F431</f>
        <v>IPO</v>
      </c>
      <c r="G431" s="52" t="str">
        <f>[2]Base!G431</f>
        <v>ICVM 476</v>
      </c>
      <c r="H431" s="53">
        <f>[2]Base!X431</f>
        <v>44294</v>
      </c>
      <c r="I431" s="54">
        <f>[2]Base!W431</f>
        <v>18</v>
      </c>
      <c r="J431" s="55">
        <f>[2]Base!J431</f>
        <v>44298</v>
      </c>
      <c r="K431" s="114">
        <f>[2]Base!BL431</f>
        <v>2</v>
      </c>
      <c r="L431" s="114">
        <f>[2]Base!DZ431</f>
        <v>38</v>
      </c>
      <c r="M431" s="57">
        <f>[2]Base!AO431</f>
        <v>180000000</v>
      </c>
      <c r="N431" s="57">
        <f>[2]Base!AP431</f>
        <v>90000000</v>
      </c>
      <c r="O431" s="58">
        <f>[2]Base!AQ431</f>
        <v>270000000</v>
      </c>
      <c r="P431" s="59">
        <f>[2]Base!EF431</f>
        <v>1.11112E-2</v>
      </c>
      <c r="Q431" s="59">
        <f>[2]Base!EH431</f>
        <v>0.70435119999999996</v>
      </c>
      <c r="R431" s="59">
        <f>[2]Base!EJ431</f>
        <v>0.14803333333333332</v>
      </c>
      <c r="S431" s="60">
        <f>[2]Base!EL431</f>
        <v>0</v>
      </c>
    </row>
    <row r="432" spans="2:19" ht="13.2" x14ac:dyDescent="0.25">
      <c r="B432" s="51" t="str">
        <f>[2]Base!A432</f>
        <v>MATER DEI</v>
      </c>
      <c r="C432" s="52" t="str">
        <f>[2]Base!C432</f>
        <v>NM</v>
      </c>
      <c r="D432" s="52" t="str">
        <f>[2]Base!EQ432</f>
        <v>Serv.Méd.Hospit..Análises e Diagnósticos</v>
      </c>
      <c r="E432" s="52" t="str">
        <f>[2]Base!M432</f>
        <v>BTG Pactual</v>
      </c>
      <c r="F432" s="52" t="str">
        <f>[2]Base!F432</f>
        <v>IPO</v>
      </c>
      <c r="G432" s="52" t="str">
        <f>[2]Base!G432</f>
        <v>ICVM 400</v>
      </c>
      <c r="H432" s="53">
        <f>[2]Base!X432</f>
        <v>44300</v>
      </c>
      <c r="I432" s="54">
        <f>[2]Base!W432</f>
        <v>17.440000000000001</v>
      </c>
      <c r="J432" s="55">
        <f>[2]Base!J432</f>
        <v>44302</v>
      </c>
      <c r="K432" s="114">
        <f>[2]Base!BL432</f>
        <v>2765</v>
      </c>
      <c r="L432" s="114">
        <f>[2]Base!DZ432</f>
        <v>3069</v>
      </c>
      <c r="M432" s="57">
        <f>[2]Base!AO432</f>
        <v>1194727566.24</v>
      </c>
      <c r="N432" s="57">
        <f>[2]Base!AP432</f>
        <v>218399986.40000001</v>
      </c>
      <c r="O432" s="58">
        <f>[2]Base!AQ432</f>
        <v>1413127552.6400001</v>
      </c>
      <c r="P432" s="59">
        <f>[2]Base!EF432</f>
        <v>9.0488449749932545E-2</v>
      </c>
      <c r="Q432" s="59">
        <f>[2]Base!EH432</f>
        <v>0.70953329421474343</v>
      </c>
      <c r="R432" s="59">
        <f>[2]Base!EJ432</f>
        <v>0.19014414983468853</v>
      </c>
      <c r="S432" s="60">
        <f>[2]Base!EL432</f>
        <v>9.8341062006356075E-3</v>
      </c>
    </row>
    <row r="433" spans="2:19" ht="13.2" x14ac:dyDescent="0.25">
      <c r="B433" s="51" t="str">
        <f>[2]Base!A433</f>
        <v>BLAU</v>
      </c>
      <c r="C433" s="52" t="str">
        <f>[2]Base!C433</f>
        <v>NM</v>
      </c>
      <c r="D433" s="52" t="str">
        <f>[2]Base!EQ433</f>
        <v>Medicamentos e Outros Produtos</v>
      </c>
      <c r="E433" s="52" t="str">
        <f>[2]Base!M433</f>
        <v>Itaú BBA</v>
      </c>
      <c r="F433" s="52" t="str">
        <f>[2]Base!F433</f>
        <v>IPO</v>
      </c>
      <c r="G433" s="52" t="str">
        <f>[2]Base!G433</f>
        <v>ICVM 400</v>
      </c>
      <c r="H433" s="53">
        <f>[2]Base!X433</f>
        <v>44294</v>
      </c>
      <c r="I433" s="54">
        <f>[2]Base!W433</f>
        <v>40.14</v>
      </c>
      <c r="J433" s="55">
        <f>[2]Base!J433</f>
        <v>44305</v>
      </c>
      <c r="K433" s="114">
        <f>[2]Base!BL433</f>
        <v>1765</v>
      </c>
      <c r="L433" s="114">
        <f>[2]Base!DZ433</f>
        <v>2017</v>
      </c>
      <c r="M433" s="57">
        <f>[2]Base!AO433</f>
        <v>1260152711.46</v>
      </c>
      <c r="N433" s="57">
        <f>[2]Base!AP433</f>
        <v>0</v>
      </c>
      <c r="O433" s="58">
        <f>[2]Base!AQ433</f>
        <v>1260152711.46</v>
      </c>
      <c r="P433" s="59">
        <f>[2]Base!EF433</f>
        <v>5.3142901246001656E-2</v>
      </c>
      <c r="Q433" s="59">
        <f>[2]Base!EH433</f>
        <v>0.45854825671923494</v>
      </c>
      <c r="R433" s="59">
        <f>[2]Base!EJ433</f>
        <v>0.48559204373812415</v>
      </c>
      <c r="S433" s="60">
        <f>[2]Base!EL433</f>
        <v>2.7167982966393609E-3</v>
      </c>
    </row>
    <row r="434" spans="2:19" ht="13.2" x14ac:dyDescent="0.25">
      <c r="B434" s="51" t="str">
        <f>[2]Base!A434</f>
        <v>GPS</v>
      </c>
      <c r="C434" s="52" t="str">
        <f>[2]Base!C434</f>
        <v>NM</v>
      </c>
      <c r="D434" s="52" t="str">
        <f>[2]Base!EQ434</f>
        <v>Serviços Diversos</v>
      </c>
      <c r="E434" s="52" t="str">
        <f>[2]Base!M434</f>
        <v>Itaú BBA</v>
      </c>
      <c r="F434" s="52" t="str">
        <f>[2]Base!F434</f>
        <v>IPO</v>
      </c>
      <c r="G434" s="52" t="str">
        <f>[2]Base!G434</f>
        <v>ICVM 400</v>
      </c>
      <c r="H434" s="53">
        <f>[2]Base!X434</f>
        <v>44308</v>
      </c>
      <c r="I434" s="54">
        <f>[2]Base!W434</f>
        <v>12</v>
      </c>
      <c r="J434" s="55">
        <f>[2]Base!J434</f>
        <v>44312</v>
      </c>
      <c r="K434" s="114">
        <f>[2]Base!BL434</f>
        <v>1669</v>
      </c>
      <c r="L434" s="114">
        <f>[2]Base!DZ434</f>
        <v>1994</v>
      </c>
      <c r="M434" s="57">
        <f>[2]Base!AO434</f>
        <v>1082251080</v>
      </c>
      <c r="N434" s="57">
        <f>[2]Base!AP434</f>
        <v>1406926404</v>
      </c>
      <c r="O434" s="58">
        <f>[2]Base!AQ434</f>
        <v>2489177484</v>
      </c>
      <c r="P434" s="59">
        <f>[2]Base!EF434</f>
        <v>3.9643509807675892E-2</v>
      </c>
      <c r="Q434" s="59">
        <f>[2]Base!EH434</f>
        <v>0.70778085505131461</v>
      </c>
      <c r="R434" s="59">
        <f>[2]Base!EJ434</f>
        <v>0.24847309923682404</v>
      </c>
      <c r="S434" s="60">
        <f>[2]Base!EL434</f>
        <v>4.1025359041854488E-3</v>
      </c>
    </row>
    <row r="435" spans="2:19" ht="13.2" x14ac:dyDescent="0.25">
      <c r="B435" s="51" t="str">
        <f>[2]Base!A435</f>
        <v>BOA SAFRA</v>
      </c>
      <c r="C435" s="52" t="str">
        <f>[2]Base!C435</f>
        <v>NM</v>
      </c>
      <c r="D435" s="52" t="str">
        <f>[2]Base!EQ435</f>
        <v>Agricultura</v>
      </c>
      <c r="E435" s="52" t="str">
        <f>[2]Base!M435</f>
        <v>XP Investimentos</v>
      </c>
      <c r="F435" s="52" t="str">
        <f>[2]Base!F435</f>
        <v>IPO</v>
      </c>
      <c r="G435" s="52" t="str">
        <f>[2]Base!G435</f>
        <v>ICVM 400</v>
      </c>
      <c r="H435" s="53">
        <f>[2]Base!X435</f>
        <v>44313</v>
      </c>
      <c r="I435" s="54">
        <f>[2]Base!W435</f>
        <v>9.9</v>
      </c>
      <c r="J435" s="55">
        <f>[2]Base!J435</f>
        <v>44315</v>
      </c>
      <c r="K435" s="114">
        <f>[2]Base!BL435</f>
        <v>15557</v>
      </c>
      <c r="L435" s="114">
        <f>[2]Base!DZ435</f>
        <v>16158</v>
      </c>
      <c r="M435" s="57">
        <f>[2]Base!AO435</f>
        <v>459999995.39999998</v>
      </c>
      <c r="N435" s="57">
        <f>[2]Base!AP435</f>
        <v>0</v>
      </c>
      <c r="O435" s="58">
        <f>[2]Base!AQ435</f>
        <v>459999995.39999998</v>
      </c>
      <c r="P435" s="59">
        <f>[2]Base!EF435</f>
        <v>0.13878153725738057</v>
      </c>
      <c r="Q435" s="59">
        <f>[2]Base!EH435</f>
        <v>0.69979222482400927</v>
      </c>
      <c r="R435" s="59">
        <f>[2]Base!EJ435</f>
        <v>0.14841638952764213</v>
      </c>
      <c r="S435" s="60">
        <f>[2]Base!EL435</f>
        <v>1.4447909492305183E-2</v>
      </c>
    </row>
    <row r="436" spans="2:19" ht="13.2" x14ac:dyDescent="0.25">
      <c r="B436" s="51" t="str">
        <f>[2]Base!A436</f>
        <v>CAIXA SEGURI²</v>
      </c>
      <c r="C436" s="52" t="str">
        <f>[2]Base!C436</f>
        <v>NM</v>
      </c>
      <c r="D436" s="52" t="str">
        <f>[2]Base!EQ436</f>
        <v>Seguradoras</v>
      </c>
      <c r="E436" s="52" t="str">
        <f>[2]Base!M436</f>
        <v>Morgan Stanley</v>
      </c>
      <c r="F436" s="52" t="str">
        <f>[2]Base!F436</f>
        <v>IPO</v>
      </c>
      <c r="G436" s="52" t="str">
        <f>[2]Base!G436</f>
        <v>ICVM 400</v>
      </c>
      <c r="H436" s="53">
        <f>[2]Base!X436</f>
        <v>44313</v>
      </c>
      <c r="I436" s="54">
        <f>[2]Base!W436</f>
        <v>9.67</v>
      </c>
      <c r="J436" s="55">
        <f>[2]Base!J436</f>
        <v>44315</v>
      </c>
      <c r="K436" s="114">
        <f>[2]Base!BL436</f>
        <v>0</v>
      </c>
      <c r="L436" s="114">
        <f>[2]Base!DZ436</f>
        <v>0</v>
      </c>
      <c r="M436" s="57">
        <f>[2]Base!AO436</f>
        <v>0</v>
      </c>
      <c r="N436" s="57">
        <f>[2]Base!AP436</f>
        <v>4351500000</v>
      </c>
      <c r="O436" s="58">
        <f>[2]Base!AQ436</f>
        <v>4351500000</v>
      </c>
      <c r="P436" s="59">
        <f>[2]Base!EF436</f>
        <v>0</v>
      </c>
      <c r="Q436" s="59">
        <f>[2]Base!EH436</f>
        <v>0</v>
      </c>
      <c r="R436" s="59">
        <f>[2]Base!EJ436</f>
        <v>0</v>
      </c>
      <c r="S436" s="60">
        <f>[2]Base!EL436</f>
        <v>0</v>
      </c>
    </row>
    <row r="437" spans="2:19" ht="13.2" x14ac:dyDescent="0.25">
      <c r="B437" s="51" t="str">
        <f>[2]Base!A437</f>
        <v>MODALMAIS</v>
      </c>
      <c r="C437" s="52" t="str">
        <f>[2]Base!C437</f>
        <v>N2</v>
      </c>
      <c r="D437" s="52" t="str">
        <f>[2]Base!EQ437</f>
        <v>Bancos</v>
      </c>
      <c r="E437" s="52" t="str">
        <f>[2]Base!M437</f>
        <v>Credit Suisse</v>
      </c>
      <c r="F437" s="52" t="str">
        <f>[2]Base!F437</f>
        <v>IPO</v>
      </c>
      <c r="G437" s="52" t="str">
        <f>[2]Base!G437</f>
        <v>ICVM 400</v>
      </c>
      <c r="H437" s="53">
        <f>[2]Base!X437</f>
        <v>44314</v>
      </c>
      <c r="I437" s="54">
        <f>[2]Base!W437</f>
        <v>20.010000000000002</v>
      </c>
      <c r="J437" s="55">
        <f>[2]Base!J437</f>
        <v>44316</v>
      </c>
      <c r="K437" s="114">
        <f>[2]Base!BL437</f>
        <v>4310</v>
      </c>
      <c r="L437" s="114">
        <f>[2]Base!DZ437</f>
        <v>4770</v>
      </c>
      <c r="M437" s="57">
        <f>[2]Base!AO437</f>
        <v>2477788275</v>
      </c>
      <c r="N437" s="57">
        <f>[2]Base!AP437</f>
        <v>715357500</v>
      </c>
      <c r="O437" s="58">
        <f>[2]Base!AQ437</f>
        <v>3193145775</v>
      </c>
      <c r="P437" s="59">
        <f>[2]Base!EF437</f>
        <v>7.2683684162704057E-2</v>
      </c>
      <c r="Q437" s="59">
        <f>[2]Base!EH437</f>
        <v>0.15698319047763273</v>
      </c>
      <c r="R437" s="59">
        <f>[2]Base!EJ437</f>
        <v>0.12132978162764636</v>
      </c>
      <c r="S437" s="60">
        <f>[2]Base!EL437</f>
        <v>4.5777447981342947E-3</v>
      </c>
    </row>
    <row r="438" spans="2:19" ht="13.2" x14ac:dyDescent="0.25">
      <c r="B438" s="51" t="str">
        <f>[2]Base!A438</f>
        <v>SEQUOIA LOG</v>
      </c>
      <c r="C438" s="52" t="str">
        <f>[2]Base!C438</f>
        <v>NM</v>
      </c>
      <c r="D438" s="52" t="str">
        <f>[2]Base!EQ438</f>
        <v>Serviços Diversos</v>
      </c>
      <c r="E438" s="52" t="str">
        <f>[2]Base!M438</f>
        <v>BTG Pactual</v>
      </c>
      <c r="F438" s="52" t="str">
        <f>[2]Base!F438</f>
        <v>FOLLOW-ON</v>
      </c>
      <c r="G438" s="52" t="str">
        <f>[2]Base!G438</f>
        <v>ICVM 476</v>
      </c>
      <c r="H438" s="53">
        <f>[2]Base!X438</f>
        <v>44301</v>
      </c>
      <c r="I438" s="54">
        <f>[2]Base!W438</f>
        <v>25</v>
      </c>
      <c r="J438" s="55">
        <f>[2]Base!J438</f>
        <v>44305</v>
      </c>
      <c r="K438" s="114">
        <f>[2]Base!BL438</f>
        <v>0</v>
      </c>
      <c r="L438" s="114">
        <f>[2]Base!DZ438</f>
        <v>290</v>
      </c>
      <c r="M438" s="57">
        <f>[2]Base!AO438</f>
        <v>207182325</v>
      </c>
      <c r="N438" s="57">
        <f>[2]Base!AP438</f>
        <v>918282900</v>
      </c>
      <c r="O438" s="58">
        <f>[2]Base!AQ438</f>
        <v>1125465225</v>
      </c>
      <c r="P438" s="59">
        <f>[2]Base!EF438</f>
        <v>0</v>
      </c>
      <c r="Q438" s="59">
        <f>[2]Base!EH438</f>
        <v>0.37950826068393184</v>
      </c>
      <c r="R438" s="59">
        <f>[2]Base!EJ438</f>
        <v>0.35111595740330404</v>
      </c>
      <c r="S438" s="60">
        <f>[2]Base!EL438</f>
        <v>6.3493432238210648E-2</v>
      </c>
    </row>
    <row r="439" spans="2:19" ht="13.2" x14ac:dyDescent="0.25">
      <c r="B439" s="51" t="str">
        <f>[2]Base!A439</f>
        <v>ALUPAR</v>
      </c>
      <c r="C439" s="52" t="str">
        <f>[2]Base!C439</f>
        <v>N2</v>
      </c>
      <c r="D439" s="52" t="str">
        <f>[2]Base!EQ439</f>
        <v>Energia Elétrica</v>
      </c>
      <c r="E439" s="52" t="str">
        <f>[2]Base!M439</f>
        <v>Itaú BBA</v>
      </c>
      <c r="F439" s="52" t="str">
        <f>[2]Base!F439</f>
        <v>FOLLOW-ON</v>
      </c>
      <c r="G439" s="52" t="str">
        <f>[2]Base!G439</f>
        <v>ICVM 476</v>
      </c>
      <c r="H439" s="53">
        <f>[2]Base!X439</f>
        <v>44306</v>
      </c>
      <c r="I439" s="54">
        <f>[2]Base!W439</f>
        <v>25.5</v>
      </c>
      <c r="J439" s="55">
        <f>[2]Base!J439</f>
        <v>44309</v>
      </c>
      <c r="K439" s="114">
        <f>[2]Base!BL439</f>
        <v>0</v>
      </c>
      <c r="L439" s="114">
        <f>[2]Base!DZ439</f>
        <v>155</v>
      </c>
      <c r="M439" s="57">
        <f>[2]Base!AO439</f>
        <v>0</v>
      </c>
      <c r="N439" s="57">
        <f>[2]Base!AP439</f>
        <v>896650227</v>
      </c>
      <c r="O439" s="58">
        <f>[2]Base!AQ439</f>
        <v>896650227</v>
      </c>
      <c r="P439" s="59">
        <f>[2]Base!EF439</f>
        <v>0</v>
      </c>
      <c r="Q439" s="59">
        <f>[2]Base!EH439</f>
        <v>0.80158505218334153</v>
      </c>
      <c r="R439" s="59">
        <f>[2]Base!EJ439</f>
        <v>0.1984149478166585</v>
      </c>
      <c r="S439" s="60">
        <f>[2]Base!EL439</f>
        <v>0</v>
      </c>
    </row>
    <row r="440" spans="2:19" ht="13.2" x14ac:dyDescent="0.25">
      <c r="B440" s="51" t="str">
        <f>[2]Base!A440</f>
        <v>HAPVIDA</v>
      </c>
      <c r="C440" s="52" t="str">
        <f>[2]Base!C440</f>
        <v>NM</v>
      </c>
      <c r="D440" s="52" t="str">
        <f>[2]Base!EQ440</f>
        <v>Serv. Méd. Hospit., Análises e Diagnósticos</v>
      </c>
      <c r="E440" s="52" t="str">
        <f>[2]Base!M440</f>
        <v>BTG  Pactual</v>
      </c>
      <c r="F440" s="52" t="str">
        <f>[2]Base!F440</f>
        <v>FOLLOW-ON</v>
      </c>
      <c r="G440" s="52" t="str">
        <f>[2]Base!G440</f>
        <v>ICVM 476</v>
      </c>
      <c r="H440" s="53">
        <f>[2]Base!X440</f>
        <v>44306</v>
      </c>
      <c r="I440" s="54">
        <f>[2]Base!W440</f>
        <v>15</v>
      </c>
      <c r="J440" s="55">
        <f>[2]Base!J440</f>
        <v>44309</v>
      </c>
      <c r="K440" s="114">
        <f>[2]Base!BL440</f>
        <v>0</v>
      </c>
      <c r="L440" s="114">
        <f>[2]Base!DZ440</f>
        <v>1058</v>
      </c>
      <c r="M440" s="57">
        <f>[2]Base!AO440</f>
        <v>2025000000</v>
      </c>
      <c r="N440" s="57">
        <f>[2]Base!AP440</f>
        <v>675000000</v>
      </c>
      <c r="O440" s="58">
        <f>[2]Base!AQ440</f>
        <v>2700000000</v>
      </c>
      <c r="P440" s="59">
        <f>[2]Base!EF440</f>
        <v>2.4444444444444445E-5</v>
      </c>
      <c r="Q440" s="59">
        <f>[2]Base!EH440</f>
        <v>0.60717268888888887</v>
      </c>
      <c r="R440" s="59">
        <f>[2]Base!EJ440</f>
        <v>0.29644723888888891</v>
      </c>
      <c r="S440" s="60">
        <f>[2]Base!EL440</f>
        <v>9.6355627777777772E-2</v>
      </c>
    </row>
    <row r="441" spans="2:19" ht="13.2" x14ac:dyDescent="0.25">
      <c r="B441" s="51" t="str">
        <f>[2]Base!A441</f>
        <v>LOJAS RENNER</v>
      </c>
      <c r="C441" s="52" t="str">
        <f>[2]Base!C441</f>
        <v>NM</v>
      </c>
      <c r="D441" s="52" t="str">
        <f>[2]Base!EQ441</f>
        <v>Tecidos, Vestuário e Calçados</v>
      </c>
      <c r="E441" s="52" t="str">
        <f>[2]Base!M441</f>
        <v>Itaú BBA</v>
      </c>
      <c r="F441" s="52" t="str">
        <f>[2]Base!F441</f>
        <v>FOLLOW-ON</v>
      </c>
      <c r="G441" s="52" t="str">
        <f>[2]Base!G441</f>
        <v>ICVM 476</v>
      </c>
      <c r="H441" s="53">
        <f>[2]Base!X441</f>
        <v>44315</v>
      </c>
      <c r="I441" s="54">
        <f>[2]Base!W441</f>
        <v>39</v>
      </c>
      <c r="J441" s="55">
        <f>[2]Base!J441</f>
        <v>44319</v>
      </c>
      <c r="K441" s="114">
        <f>[2]Base!BL441</f>
        <v>2205</v>
      </c>
      <c r="L441" s="114">
        <f>[2]Base!DZ441</f>
        <v>3160</v>
      </c>
      <c r="M441" s="57">
        <f>[2]Base!AO441</f>
        <v>3978000000</v>
      </c>
      <c r="N441" s="57">
        <f>[2]Base!AP441</f>
        <v>0</v>
      </c>
      <c r="O441" s="58">
        <f>[2]Base!AQ441</f>
        <v>3978000000</v>
      </c>
      <c r="P441" s="59">
        <f>[2]Base!EF441</f>
        <v>2.4875882352941177E-3</v>
      </c>
      <c r="Q441" s="59">
        <f>[2]Base!EH441</f>
        <v>0.50064655882352938</v>
      </c>
      <c r="R441" s="59">
        <f>[2]Base!EJ441</f>
        <v>0.49685275490196079</v>
      </c>
      <c r="S441" s="60">
        <f>[2]Base!EL441</f>
        <v>1.3098039215686275E-5</v>
      </c>
    </row>
    <row r="442" spans="2:19" ht="13.2" x14ac:dyDescent="0.25">
      <c r="B442" s="51" t="str">
        <f>[2]Base!A442</f>
        <v>INFRACOMM</v>
      </c>
      <c r="C442" s="52" t="str">
        <f>[2]Base!C442</f>
        <v>NM</v>
      </c>
      <c r="D442" s="52" t="str">
        <f>[2]Base!EQ442</f>
        <v>Programas e Serviços</v>
      </c>
      <c r="E442" s="52" t="str">
        <f>[2]Base!M442</f>
        <v>Itaú BBA</v>
      </c>
      <c r="F442" s="52" t="str">
        <f>[2]Base!F442</f>
        <v>IPO</v>
      </c>
      <c r="G442" s="52" t="str">
        <f>[2]Base!G442</f>
        <v>ICVM 476</v>
      </c>
      <c r="H442" s="53">
        <f>[2]Base!X442</f>
        <v>44316</v>
      </c>
      <c r="I442" s="54">
        <f>[2]Base!W442</f>
        <v>16</v>
      </c>
      <c r="J442" s="55">
        <f>[2]Base!J442</f>
        <v>44320</v>
      </c>
      <c r="K442" s="114">
        <f>[2]Base!BL442</f>
        <v>1</v>
      </c>
      <c r="L442" s="114">
        <f>[2]Base!DZ442</f>
        <v>137</v>
      </c>
      <c r="M442" s="57">
        <f>[2]Base!AO442</f>
        <v>902388000</v>
      </c>
      <c r="N442" s="57">
        <f>[2]Base!AP442</f>
        <v>0</v>
      </c>
      <c r="O442" s="58">
        <f>[2]Base!AQ442</f>
        <v>902388000</v>
      </c>
      <c r="P442" s="59">
        <f>[2]Base!EF442</f>
        <v>5.5408538234107726E-4</v>
      </c>
      <c r="Q442" s="59">
        <f>[2]Base!EH442</f>
        <v>0.7127378998834204</v>
      </c>
      <c r="R442" s="59">
        <f>[2]Base!EJ442</f>
        <v>0.39543286479873402</v>
      </c>
      <c r="S442" s="60">
        <f>[2]Base!EL442</f>
        <v>0</v>
      </c>
    </row>
    <row r="443" spans="2:19" ht="13.2" x14ac:dyDescent="0.25">
      <c r="B443" s="51" t="str">
        <f>[2]Base!A443</f>
        <v>PETRORECSA</v>
      </c>
      <c r="C443" s="52" t="str">
        <f>[2]Base!C443</f>
        <v>NM</v>
      </c>
      <c r="D443" s="52" t="str">
        <f>[2]Base!EQ443</f>
        <v>Exploração. Refino e Distribuição</v>
      </c>
      <c r="E443" s="52" t="str">
        <f>[2]Base!M443</f>
        <v>Itaú BBA</v>
      </c>
      <c r="F443" s="52" t="str">
        <f>[2]Base!F443</f>
        <v>IPO</v>
      </c>
      <c r="G443" s="52" t="str">
        <f>[2]Base!G443</f>
        <v>ICVM 400</v>
      </c>
      <c r="H443" s="53">
        <f>[2]Base!X443</f>
        <v>44319</v>
      </c>
      <c r="I443" s="54">
        <f>[2]Base!W443</f>
        <v>14.75</v>
      </c>
      <c r="J443" s="55">
        <f>[2]Base!J443</f>
        <v>44321</v>
      </c>
      <c r="K443" s="114">
        <f>[2]Base!BL443</f>
        <v>2596</v>
      </c>
      <c r="L443" s="114">
        <f>[2]Base!DZ443</f>
        <v>2926</v>
      </c>
      <c r="M443" s="57">
        <f>[2]Base!AO443</f>
        <v>1187375000</v>
      </c>
      <c r="N443" s="57">
        <f>[2]Base!AP443</f>
        <v>0</v>
      </c>
      <c r="O443" s="58">
        <f>[2]Base!AQ443</f>
        <v>1187375000</v>
      </c>
      <c r="P443" s="59">
        <f>[2]Base!EF443</f>
        <v>0.10086165217391305</v>
      </c>
      <c r="Q443" s="59">
        <f>[2]Base!EH443</f>
        <v>0.78770052173913041</v>
      </c>
      <c r="R443" s="59">
        <f>[2]Base!EJ443</f>
        <v>0.10678592546583851</v>
      </c>
      <c r="S443" s="60">
        <f>[2]Base!EL443</f>
        <v>4.6519006211180125E-3</v>
      </c>
    </row>
    <row r="444" spans="2:19" ht="13.2" x14ac:dyDescent="0.25">
      <c r="B444" s="51" t="str">
        <f>[2]Base!A444</f>
        <v>GETNINJAS</v>
      </c>
      <c r="C444" s="52" t="str">
        <f>[2]Base!C444</f>
        <v>NM</v>
      </c>
      <c r="D444" s="52" t="str">
        <f>[2]Base!EQ444</f>
        <v>Programas e Serviços</v>
      </c>
      <c r="E444" s="52" t="str">
        <f>[2]Base!M444</f>
        <v>BTG Pactual</v>
      </c>
      <c r="F444" s="52" t="str">
        <f>[2]Base!F444</f>
        <v>IPO</v>
      </c>
      <c r="G444" s="52" t="str">
        <f>[2]Base!G444</f>
        <v>ICVM 400</v>
      </c>
      <c r="H444" s="53">
        <f>[2]Base!X444</f>
        <v>44334</v>
      </c>
      <c r="I444" s="54">
        <f>[2]Base!W444</f>
        <v>20</v>
      </c>
      <c r="J444" s="55">
        <f>[2]Base!J444</f>
        <v>44333</v>
      </c>
      <c r="K444" s="114">
        <f>[2]Base!BL444</f>
        <v>1205</v>
      </c>
      <c r="L444" s="114">
        <f>[2]Base!DZ444</f>
        <v>1343</v>
      </c>
      <c r="M444" s="57">
        <f>[2]Base!AO444</f>
        <v>321285160</v>
      </c>
      <c r="N444" s="57">
        <f>[2]Base!AP444</f>
        <v>160754620</v>
      </c>
      <c r="O444" s="58">
        <f>[2]Base!AQ444</f>
        <v>482039780</v>
      </c>
      <c r="P444" s="59">
        <f>[2]Base!EF444</f>
        <v>7.3762630520079406E-2</v>
      </c>
      <c r="Q444" s="59">
        <f>[2]Base!EH444</f>
        <v>0.79009904540801557</v>
      </c>
      <c r="R444" s="59">
        <f>[2]Base!EJ444</f>
        <v>0.13276912707942881</v>
      </c>
      <c r="S444" s="60">
        <f>[2]Base!EL444</f>
        <v>3.3691969924762115E-3</v>
      </c>
    </row>
    <row r="445" spans="2:19" ht="13.2" x14ac:dyDescent="0.25">
      <c r="B445" s="51" t="str">
        <f>[2]Base!A445</f>
        <v>G2D INVEST</v>
      </c>
      <c r="C445" s="52" t="str">
        <f>[2]Base!C445</f>
        <v>BDR</v>
      </c>
      <c r="D445" s="52" t="str">
        <f>[2]Base!EQ445</f>
        <v>Gestão de Recursos e Investimentos</v>
      </c>
      <c r="E445" s="52" t="str">
        <f>[2]Base!M445</f>
        <v>BTG Pactual</v>
      </c>
      <c r="F445" s="52" t="str">
        <f>[2]Base!F445</f>
        <v>IPO</v>
      </c>
      <c r="G445" s="52" t="str">
        <f>[2]Base!G445</f>
        <v>ICVM 400</v>
      </c>
      <c r="H445" s="53">
        <f>[2]Base!X445</f>
        <v>44329</v>
      </c>
      <c r="I445" s="54">
        <f>[2]Base!W445</f>
        <v>7.16</v>
      </c>
      <c r="J445" s="55">
        <f>[2]Base!J445</f>
        <v>44333</v>
      </c>
      <c r="K445" s="114">
        <f>[2]Base!BL445</f>
        <v>5124</v>
      </c>
      <c r="L445" s="114">
        <f>[2]Base!DZ445</f>
        <v>5387</v>
      </c>
      <c r="M445" s="57">
        <f>[2]Base!AO445</f>
        <v>281062399</v>
      </c>
      <c r="N445" s="57">
        <f>[2]Base!AP445</f>
        <v>0</v>
      </c>
      <c r="O445" s="58">
        <f>[2]Base!AQ445</f>
        <v>281062399</v>
      </c>
      <c r="P445" s="59">
        <f>[2]Base!EF445</f>
        <v>0.60057128657559644</v>
      </c>
      <c r="Q445" s="59">
        <f>[2]Base!EH445</f>
        <v>1.8472871634348048E-2</v>
      </c>
      <c r="R445" s="59">
        <f>[2]Base!EJ445</f>
        <v>0.12862930278578835</v>
      </c>
      <c r="S445" s="60">
        <f>[2]Base!EL445</f>
        <v>0.25232653900426721</v>
      </c>
    </row>
    <row r="446" spans="2:19" ht="13.2" x14ac:dyDescent="0.25">
      <c r="B446" s="51" t="str">
        <f>[2]Base!A446</f>
        <v>REDE D OR</v>
      </c>
      <c r="C446" s="52" t="str">
        <f>[2]Base!C446</f>
        <v>NM</v>
      </c>
      <c r="D446" s="52" t="str">
        <f>[2]Base!EQ446</f>
        <v>Serv.Méd.Hospit..Análises e Diagnósticos</v>
      </c>
      <c r="E446" s="52" t="str">
        <f>[2]Base!M446</f>
        <v>BofA Merrill Lynch</v>
      </c>
      <c r="F446" s="52" t="str">
        <f>[2]Base!F446</f>
        <v>FOLLOW-ON</v>
      </c>
      <c r="G446" s="52" t="str">
        <f>[2]Base!G446</f>
        <v>ICVM 476</v>
      </c>
      <c r="H446" s="53">
        <f>[2]Base!X446</f>
        <v>44342</v>
      </c>
      <c r="I446" s="54">
        <f>[2]Base!W446</f>
        <v>71</v>
      </c>
      <c r="J446" s="55">
        <f>[2]Base!J446</f>
        <v>44344</v>
      </c>
      <c r="K446" s="114">
        <f>[2]Base!BL446</f>
        <v>0</v>
      </c>
      <c r="L446" s="114">
        <f>[2]Base!DZ446</f>
        <v>2362</v>
      </c>
      <c r="M446" s="57">
        <f>[2]Base!AO446</f>
        <v>1777840000</v>
      </c>
      <c r="N446" s="57">
        <f>[2]Base!AP446</f>
        <v>3111220000</v>
      </c>
      <c r="O446" s="58">
        <f>[2]Base!AQ446</f>
        <v>4889060000</v>
      </c>
      <c r="P446" s="59">
        <f>[2]Base!EF446</f>
        <v>3.8498402555910545E-5</v>
      </c>
      <c r="Q446" s="59">
        <f>[2]Base!EH446</f>
        <v>0.49615312227708391</v>
      </c>
      <c r="R446" s="59">
        <f>[2]Base!EJ446</f>
        <v>0.47844478652338079</v>
      </c>
      <c r="S446" s="60">
        <f>[2]Base!EL446</f>
        <v>2.5363592796979379E-2</v>
      </c>
    </row>
    <row r="447" spans="2:19" ht="13.2" x14ac:dyDescent="0.25">
      <c r="B447" s="51" t="str">
        <f>[2]Base!A447</f>
        <v>DOTZ</v>
      </c>
      <c r="C447" s="52" t="str">
        <f>[2]Base!C447</f>
        <v>NM</v>
      </c>
      <c r="D447" s="52" t="str">
        <f>[2]Base!EQ447</f>
        <v>Programas de Fidelização</v>
      </c>
      <c r="E447" s="52" t="str">
        <f>[2]Base!M447</f>
        <v>BTG Pactual</v>
      </c>
      <c r="F447" s="52" t="str">
        <f>[2]Base!F447</f>
        <v>IPO</v>
      </c>
      <c r="G447" s="52" t="str">
        <f>[2]Base!G447</f>
        <v>ICVM 476</v>
      </c>
      <c r="H447" s="53">
        <f>[2]Base!X447</f>
        <v>44343</v>
      </c>
      <c r="I447" s="54">
        <f>[2]Base!W447</f>
        <v>13.2</v>
      </c>
      <c r="J447" s="55">
        <f>[2]Base!J447</f>
        <v>44347</v>
      </c>
      <c r="K447" s="114">
        <f>[2]Base!BL447</f>
        <v>0</v>
      </c>
      <c r="L447" s="114">
        <f>[2]Base!DZ447</f>
        <v>24</v>
      </c>
      <c r="M447" s="57">
        <f>[2]Base!AO447</f>
        <v>390720000</v>
      </c>
      <c r="N447" s="57">
        <f>[2]Base!AP447</f>
        <v>0</v>
      </c>
      <c r="O447" s="58">
        <f>[2]Base!AQ447</f>
        <v>390720000</v>
      </c>
      <c r="P447" s="59">
        <f>[2]Base!EF447</f>
        <v>0</v>
      </c>
      <c r="Q447" s="59">
        <f>[2]Base!EH447</f>
        <v>0.45494425675675676</v>
      </c>
      <c r="R447" s="59">
        <f>[2]Base!EJ447</f>
        <v>0.51856418918918923</v>
      </c>
      <c r="S447" s="60">
        <f>[2]Base!EL447</f>
        <v>6.6163851351351347E-2</v>
      </c>
    </row>
    <row r="448" spans="2:19" ht="13.2" x14ac:dyDescent="0.25">
      <c r="B448" s="51" t="str">
        <f>[2]Base!A448</f>
        <v>ECORODOVIAS</v>
      </c>
      <c r="C448" s="52" t="str">
        <f>[2]Base!C448</f>
        <v>NM</v>
      </c>
      <c r="D448" s="52" t="str">
        <f>[2]Base!EQ448</f>
        <v>Exploração de Rodovias</v>
      </c>
      <c r="E448" s="52" t="str">
        <f>[2]Base!M448</f>
        <v>BTG Pactual</v>
      </c>
      <c r="F448" s="52" t="str">
        <f>[2]Base!F448</f>
        <v>FOLLOW-ON</v>
      </c>
      <c r="G448" s="52" t="str">
        <f>[2]Base!G448</f>
        <v>ICVM 476</v>
      </c>
      <c r="H448" s="53">
        <f>[2]Base!X448</f>
        <v>44369</v>
      </c>
      <c r="I448" s="54">
        <f>[2]Base!W448</f>
        <v>12.5</v>
      </c>
      <c r="J448" s="55">
        <f>[2]Base!J448</f>
        <v>44371</v>
      </c>
      <c r="K448" s="114">
        <f>[2]Base!BL448</f>
        <v>0</v>
      </c>
      <c r="L448" s="114">
        <f>[2]Base!DZ448</f>
        <v>7</v>
      </c>
      <c r="M448" s="57">
        <f>[2]Base!AO448</f>
        <v>1720439300</v>
      </c>
      <c r="N448" s="57">
        <f>[2]Base!AP448</f>
        <v>250000000</v>
      </c>
      <c r="O448" s="58">
        <f>[2]Base!AQ448</f>
        <v>1970439300</v>
      </c>
      <c r="P448" s="59">
        <f>[2]Base!EF448</f>
        <v>0</v>
      </c>
      <c r="Q448" s="59">
        <f>[2]Base!EH448</f>
        <v>0.12687526076037967</v>
      </c>
      <c r="R448" s="59">
        <f>[2]Base!EJ448</f>
        <v>0</v>
      </c>
      <c r="S448" s="60">
        <f>[2]Base!EL448</f>
        <v>0</v>
      </c>
    </row>
    <row r="449" spans="2:19" ht="13.2" x14ac:dyDescent="0.25">
      <c r="B449" s="51" t="str">
        <f>[2]Base!A449</f>
        <v>BTGP BANCO</v>
      </c>
      <c r="C449" s="52" t="str">
        <f>[2]Base!C449</f>
        <v>N2</v>
      </c>
      <c r="D449" s="52" t="str">
        <f>[2]Base!EQ449</f>
        <v>Bancos</v>
      </c>
      <c r="E449" s="52" t="str">
        <f>[2]Base!M449</f>
        <v>BTG Pactual, Bradesco BBI</v>
      </c>
      <c r="F449" s="52" t="str">
        <f>[2]Base!F449</f>
        <v>FOLLOW-ON</v>
      </c>
      <c r="G449" s="52" t="str">
        <f>[2]Base!G449</f>
        <v>ICVM 476</v>
      </c>
      <c r="H449" s="53">
        <f>[2]Base!X449</f>
        <v>44355</v>
      </c>
      <c r="I449" s="54">
        <f>[2]Base!W449</f>
        <v>40.67</v>
      </c>
      <c r="J449" s="55">
        <f>[2]Base!J449</f>
        <v>44357</v>
      </c>
      <c r="K449" s="114">
        <f>[2]Base!BL449</f>
        <v>0</v>
      </c>
      <c r="L449" s="114">
        <f>[2]Base!DZ449</f>
        <v>2059</v>
      </c>
      <c r="M449" s="57">
        <f>[2]Base!AO449</f>
        <v>2977288020</v>
      </c>
      <c r="N449" s="57">
        <f>[2]Base!AP449</f>
        <v>0</v>
      </c>
      <c r="O449" s="58">
        <f>[2]Base!AQ449</f>
        <v>2977288020</v>
      </c>
      <c r="P449" s="59">
        <f>[2]Base!EF449</f>
        <v>0</v>
      </c>
      <c r="Q449" s="59">
        <f>[2]Base!EH449</f>
        <v>0.5012667404311123</v>
      </c>
      <c r="R449" s="59">
        <f>[2]Base!EJ449</f>
        <v>0.20916318334562742</v>
      </c>
      <c r="S449" s="60">
        <f>[2]Base!EL449</f>
        <v>0.36788332923530864</v>
      </c>
    </row>
    <row r="450" spans="2:19" ht="13.2" x14ac:dyDescent="0.25">
      <c r="B450" s="51" t="str">
        <f>[2]Base!A450</f>
        <v>BANCO INTER</v>
      </c>
      <c r="C450" s="52" t="str">
        <f>[2]Base!C450</f>
        <v>N2</v>
      </c>
      <c r="D450" s="52" t="str">
        <f>[2]Base!EQ450</f>
        <v>Bancos</v>
      </c>
      <c r="E450" s="52" t="str">
        <f>[2]Base!M450</f>
        <v>Bradesco BBI</v>
      </c>
      <c r="F450" s="52" t="str">
        <f>[2]Base!F450</f>
        <v>FOLLOW-ON</v>
      </c>
      <c r="G450" s="52" t="str">
        <f>[2]Base!G450</f>
        <v>ICVM 476</v>
      </c>
      <c r="H450" s="53">
        <f>[2]Base!X450</f>
        <v>44371</v>
      </c>
      <c r="I450" s="54">
        <f>[2]Base!W450</f>
        <v>19.28</v>
      </c>
      <c r="J450" s="55">
        <f>[2]Base!J450</f>
        <v>44375</v>
      </c>
      <c r="K450" s="114">
        <f>[2]Base!BL450</f>
        <v>18015</v>
      </c>
      <c r="L450" s="114">
        <f>[2]Base!DZ450</f>
        <v>20757</v>
      </c>
      <c r="M450" s="57">
        <f>[2]Base!AO450</f>
        <v>5499999970.2400007</v>
      </c>
      <c r="N450" s="57">
        <f>[2]Base!AP450</f>
        <v>0</v>
      </c>
      <c r="O450" s="58">
        <f>[2]Base!AQ450</f>
        <v>5499999970.2400007</v>
      </c>
      <c r="P450" s="59">
        <f>[2]Base!EF450</f>
        <v>1.7718127295871175E-2</v>
      </c>
      <c r="Q450" s="59">
        <f>[2]Base!EH450</f>
        <v>0.24556764015056232</v>
      </c>
      <c r="R450" s="59">
        <f>[2]Base!EJ450</f>
        <v>0.73662824725855569</v>
      </c>
      <c r="S450" s="60">
        <f>[2]Base!EL450</f>
        <v>8.5985295010713162E-5</v>
      </c>
    </row>
    <row r="451" spans="2:19" ht="13.2" x14ac:dyDescent="0.25">
      <c r="B451" s="51" t="str">
        <f>[2]Base!A451</f>
        <v>BR PARTNERS</v>
      </c>
      <c r="C451" s="52" t="str">
        <f>[2]Base!C451</f>
        <v>N2</v>
      </c>
      <c r="D451" s="52" t="str">
        <f>[2]Base!EQ451</f>
        <v>Bancos</v>
      </c>
      <c r="E451" s="52" t="str">
        <f>[2]Base!M451</f>
        <v>BTG Pactual</v>
      </c>
      <c r="F451" s="52" t="str">
        <f>[2]Base!F451</f>
        <v>IPO</v>
      </c>
      <c r="G451" s="52" t="str">
        <f>[2]Base!G451</f>
        <v>ICVM 476</v>
      </c>
      <c r="H451" s="53">
        <f>[2]Base!X451</f>
        <v>44364</v>
      </c>
      <c r="I451" s="54">
        <f>[2]Base!W451</f>
        <v>16</v>
      </c>
      <c r="J451" s="55">
        <f>[2]Base!J451</f>
        <v>44368</v>
      </c>
      <c r="K451" s="114">
        <f>[2]Base!BL451</f>
        <v>0</v>
      </c>
      <c r="L451" s="114">
        <f>[2]Base!DZ451</f>
        <v>84</v>
      </c>
      <c r="M451" s="57">
        <f>[2]Base!AO451</f>
        <v>1092000000</v>
      </c>
      <c r="N451" s="57">
        <f>[2]Base!AP451</f>
        <v>0</v>
      </c>
      <c r="O451" s="58">
        <f>[2]Base!AQ451</f>
        <v>1092000000</v>
      </c>
      <c r="P451" s="59">
        <f>[2]Base!EF451</f>
        <v>0</v>
      </c>
      <c r="Q451" s="59">
        <f>[2]Base!EH451</f>
        <v>0.34102564102564104</v>
      </c>
      <c r="R451" s="59">
        <f>[2]Base!EJ451</f>
        <v>2.564102564102564E-2</v>
      </c>
      <c r="S451" s="60">
        <f>[2]Base!EL451</f>
        <v>0</v>
      </c>
    </row>
    <row r="452" spans="2:19" ht="13.2" x14ac:dyDescent="0.25">
      <c r="B452" s="51" t="str">
        <f>[2]Base!A452</f>
        <v>GRUPO SOMA</v>
      </c>
      <c r="C452" s="52" t="str">
        <f>[2]Base!C452</f>
        <v>NM</v>
      </c>
      <c r="D452" s="52" t="str">
        <f>[2]Base!EQ452</f>
        <v>Tecidos. Vestuário e Calçados</v>
      </c>
      <c r="E452" s="52" t="str">
        <f>[2]Base!M452</f>
        <v>Itaú BBA</v>
      </c>
      <c r="F452" s="52" t="str">
        <f>[2]Base!F452</f>
        <v>FOLLOW-ON</v>
      </c>
      <c r="G452" s="52" t="str">
        <f>[2]Base!G452</f>
        <v>ICVM 476</v>
      </c>
      <c r="H452" s="53">
        <f>[2]Base!X452</f>
        <v>44397</v>
      </c>
      <c r="I452" s="54">
        <f>[2]Base!W452</f>
        <v>19.2</v>
      </c>
      <c r="J452" s="55">
        <f>[2]Base!J452</f>
        <v>44399</v>
      </c>
      <c r="K452" s="114">
        <f>[2]Base!BL452</f>
        <v>289</v>
      </c>
      <c r="L452" s="114">
        <f>[2]Base!DZ452</f>
        <v>599</v>
      </c>
      <c r="M452" s="57">
        <f>[2]Base!AO452</f>
        <v>883435584</v>
      </c>
      <c r="N452" s="57">
        <f>[2]Base!AP452</f>
        <v>0</v>
      </c>
      <c r="O452" s="58">
        <f>[2]Base!AQ452</f>
        <v>883435584</v>
      </c>
      <c r="P452" s="59">
        <f>[2]Base!EF452</f>
        <v>2.4384582634153886E-3</v>
      </c>
      <c r="Q452" s="59">
        <f>[2]Base!EH452</f>
        <v>0.90177480919763353</v>
      </c>
      <c r="R452" s="59">
        <f>[2]Base!EJ452</f>
        <v>9.576028307231961E-2</v>
      </c>
      <c r="S452" s="60">
        <f>[2]Base!EL452</f>
        <v>2.6449466631400709E-5</v>
      </c>
    </row>
    <row r="453" spans="2:19" ht="13.2" x14ac:dyDescent="0.25">
      <c r="B453" s="51" t="str">
        <f>[2]Base!A453</f>
        <v>MAGAZ LUIZA</v>
      </c>
      <c r="C453" s="52" t="str">
        <f>[2]Base!C453</f>
        <v>NM</v>
      </c>
      <c r="D453" s="52" t="str">
        <f>[2]Base!EQ453</f>
        <v>Eletrodomésticos</v>
      </c>
      <c r="E453" s="52" t="str">
        <f>[2]Base!M453</f>
        <v>Itaú BBA</v>
      </c>
      <c r="F453" s="52" t="str">
        <f>[2]Base!F453</f>
        <v>FOLLOW-ON</v>
      </c>
      <c r="G453" s="52" t="str">
        <f>[2]Base!G453</f>
        <v>ICVM 476</v>
      </c>
      <c r="H453" s="53">
        <f>[2]Base!X453</f>
        <v>44399</v>
      </c>
      <c r="I453" s="54">
        <f>[2]Base!W453</f>
        <v>22.75</v>
      </c>
      <c r="J453" s="55">
        <f>[2]Base!J453</f>
        <v>44403</v>
      </c>
      <c r="K453" s="114">
        <f>[2]Base!BL453</f>
        <v>2827</v>
      </c>
      <c r="L453" s="114">
        <f>[2]Base!DZ453</f>
        <v>3979</v>
      </c>
      <c r="M453" s="57">
        <f>[2]Base!AO453</f>
        <v>3981250000</v>
      </c>
      <c r="N453" s="57">
        <f>[2]Base!AP453</f>
        <v>0</v>
      </c>
      <c r="O453" s="58">
        <f>[2]Base!AQ453</f>
        <v>3981250000</v>
      </c>
      <c r="P453" s="59">
        <f>[2]Base!EF453</f>
        <v>1.28644E-3</v>
      </c>
      <c r="Q453" s="59">
        <f>[2]Base!EH453</f>
        <v>0.31076097714285716</v>
      </c>
      <c r="R453" s="59">
        <f>[2]Base!EJ453</f>
        <v>0.68788002285714289</v>
      </c>
      <c r="S453" s="60">
        <f>[2]Base!EL453</f>
        <v>7.2559999999999996E-5</v>
      </c>
    </row>
    <row r="454" spans="2:19" ht="13.2" x14ac:dyDescent="0.25">
      <c r="B454" s="51" t="str">
        <f>[2]Base!A454</f>
        <v>MELIUZ</v>
      </c>
      <c r="C454" s="52" t="str">
        <f>[2]Base!C454</f>
        <v>NM</v>
      </c>
      <c r="D454" s="52" t="str">
        <f>[2]Base!EQ454</f>
        <v>Programas e Serviços</v>
      </c>
      <c r="E454" s="52" t="str">
        <f>[2]Base!M454</f>
        <v>BTG Pactual</v>
      </c>
      <c r="F454" s="52" t="str">
        <f>[2]Base!F454</f>
        <v>FOLLOW-ON</v>
      </c>
      <c r="G454" s="52" t="str">
        <f>[2]Base!G454</f>
        <v>ICVM 476</v>
      </c>
      <c r="H454" s="53">
        <f>[2]Base!X454</f>
        <v>44392</v>
      </c>
      <c r="I454" s="54">
        <f>[2]Base!W454</f>
        <v>57</v>
      </c>
      <c r="J454" s="55">
        <f>[2]Base!J454</f>
        <v>44396</v>
      </c>
      <c r="K454" s="114">
        <f>[2]Base!BL454</f>
        <v>1</v>
      </c>
      <c r="L454" s="114">
        <f>[2]Base!DZ454</f>
        <v>1499</v>
      </c>
      <c r="M454" s="57">
        <f>[2]Base!AO454</f>
        <v>427500000</v>
      </c>
      <c r="N454" s="57">
        <f>[2]Base!AP454</f>
        <v>727660119</v>
      </c>
      <c r="O454" s="58">
        <f>[2]Base!AQ454</f>
        <v>1155160119</v>
      </c>
      <c r="P454" s="59">
        <f>[2]Base!EF454</f>
        <v>9.5085519481996595E-4</v>
      </c>
      <c r="Q454" s="59">
        <f>[2]Base!EH454</f>
        <v>0.54758813137315387</v>
      </c>
      <c r="R454" s="59">
        <f>[2]Base!EJ454</f>
        <v>0.20196258091212721</v>
      </c>
      <c r="S454" s="60">
        <f>[2]Base!EL454</f>
        <v>0.11303048110164197</v>
      </c>
    </row>
    <row r="455" spans="2:19" ht="13.2" x14ac:dyDescent="0.25">
      <c r="B455" s="51" t="str">
        <f>[2]Base!A455</f>
        <v>3TENTOS</v>
      </c>
      <c r="C455" s="52" t="str">
        <f>[2]Base!C455</f>
        <v>NM</v>
      </c>
      <c r="D455" s="52" t="str">
        <f>[2]Base!EQ455</f>
        <v>Agricultura</v>
      </c>
      <c r="E455" s="52" t="str">
        <f>[2]Base!M455</f>
        <v>BTG Pactual</v>
      </c>
      <c r="F455" s="52" t="str">
        <f>[2]Base!F455</f>
        <v>IPO</v>
      </c>
      <c r="G455" s="52" t="str">
        <f>[2]Base!G455</f>
        <v>ICVM 476</v>
      </c>
      <c r="H455" s="53">
        <f>[2]Base!X455</f>
        <v>44384</v>
      </c>
      <c r="I455" s="54">
        <f>[2]Base!W455</f>
        <v>12.25</v>
      </c>
      <c r="J455" s="55">
        <f>[2]Base!J455</f>
        <v>44389</v>
      </c>
      <c r="K455" s="114">
        <f>[2]Base!BL455</f>
        <v>20</v>
      </c>
      <c r="L455" s="114">
        <f>[2]Base!DZ455</f>
        <v>81</v>
      </c>
      <c r="M455" s="57">
        <f>[2]Base!AO455</f>
        <v>1152941175.75</v>
      </c>
      <c r="N455" s="57">
        <f>[2]Base!AP455</f>
        <v>192156868.75</v>
      </c>
      <c r="O455" s="58">
        <f>[2]Base!AQ455</f>
        <v>1345098044.5</v>
      </c>
      <c r="P455" s="59">
        <f>[2]Base!EF455</f>
        <v>6.211089618456434E-3</v>
      </c>
      <c r="Q455" s="59">
        <f>[2]Base!EH455</f>
        <v>0.98500678327318769</v>
      </c>
      <c r="R455" s="59">
        <f>[2]Base!EJ455</f>
        <v>0.1586129409840206</v>
      </c>
      <c r="S455" s="60">
        <f>[2]Base!EL455</f>
        <v>1.6918339219249381E-4</v>
      </c>
    </row>
    <row r="456" spans="2:19" ht="13.2" x14ac:dyDescent="0.25">
      <c r="B456" s="51" t="str">
        <f>[2]Base!A456</f>
        <v>WDC NETWORKS</v>
      </c>
      <c r="C456" s="52" t="str">
        <f>[2]Base!C456</f>
        <v>NM</v>
      </c>
      <c r="D456" s="52" t="str">
        <f>[2]Base!EQ456</f>
        <v>Programas e Serviços</v>
      </c>
      <c r="E456" s="52" t="str">
        <f>[2]Base!M456</f>
        <v>BTG Pactual</v>
      </c>
      <c r="F456" s="52" t="str">
        <f>[2]Base!F456</f>
        <v>IPO</v>
      </c>
      <c r="G456" s="52" t="str">
        <f>[2]Base!G456</f>
        <v>ICVM 476</v>
      </c>
      <c r="H456" s="53">
        <f>[2]Base!X456</f>
        <v>44399</v>
      </c>
      <c r="I456" s="54">
        <f>[2]Base!W456</f>
        <v>23.2</v>
      </c>
      <c r="J456" s="55">
        <f>[2]Base!J456</f>
        <v>44400</v>
      </c>
      <c r="K456" s="114">
        <f>[2]Base!BL456</f>
        <v>0</v>
      </c>
      <c r="L456" s="114">
        <f>[2]Base!DZ456</f>
        <v>35</v>
      </c>
      <c r="M456" s="57">
        <f>[2]Base!AO456</f>
        <v>450080000</v>
      </c>
      <c r="N456" s="57">
        <f>[2]Base!AP456</f>
        <v>0</v>
      </c>
      <c r="O456" s="58">
        <f>[2]Base!AQ456</f>
        <v>450080000</v>
      </c>
      <c r="P456" s="59">
        <f>[2]Base!EF456</f>
        <v>0</v>
      </c>
      <c r="Q456" s="59">
        <f>[2]Base!EH456</f>
        <v>0.9503061855670103</v>
      </c>
      <c r="R456" s="59">
        <f>[2]Base!EJ456</f>
        <v>5.6765979381443302E-2</v>
      </c>
      <c r="S456" s="60">
        <f>[2]Base!EL456</f>
        <v>0</v>
      </c>
    </row>
    <row r="457" spans="2:19" ht="13.2" x14ac:dyDescent="0.25">
      <c r="B457" s="51" t="str">
        <f>[2]Base!A457</f>
        <v>SMART FIT</v>
      </c>
      <c r="C457" s="52" t="str">
        <f>[2]Base!C457</f>
        <v>NM</v>
      </c>
      <c r="D457" s="52" t="str">
        <f>[2]Base!EQ457</f>
        <v>Atividades Esportivas</v>
      </c>
      <c r="E457" s="52" t="str">
        <f>[2]Base!M457</f>
        <v>Itaú BBA</v>
      </c>
      <c r="F457" s="52" t="str">
        <f>[2]Base!F457</f>
        <v>IPO</v>
      </c>
      <c r="G457" s="52" t="str">
        <f>[2]Base!G457</f>
        <v>ICVM 400</v>
      </c>
      <c r="H457" s="53">
        <f>[2]Base!X457</f>
        <v>44389</v>
      </c>
      <c r="I457" s="54">
        <f>[2]Base!W457</f>
        <v>23</v>
      </c>
      <c r="J457" s="55">
        <f>[2]Base!J457</f>
        <v>44391</v>
      </c>
      <c r="K457" s="114">
        <f>[2]Base!BL457</f>
        <v>16164</v>
      </c>
      <c r="L457" s="114">
        <f>[2]Base!DZ457</f>
        <v>17305</v>
      </c>
      <c r="M457" s="57">
        <f>[2]Base!AO457</f>
        <v>2645000000</v>
      </c>
      <c r="N457" s="57">
        <f>[2]Base!AP457</f>
        <v>0</v>
      </c>
      <c r="O457" s="58">
        <f>[2]Base!AQ457</f>
        <v>2645000000</v>
      </c>
      <c r="P457" s="59">
        <f>[2]Base!EF457</f>
        <v>9.4812504347826093E-2</v>
      </c>
      <c r="Q457" s="59">
        <f>[2]Base!EH457</f>
        <v>0.40513107826086958</v>
      </c>
      <c r="R457" s="59">
        <f>[2]Base!EJ457</f>
        <v>0.30761015652173912</v>
      </c>
      <c r="S457" s="60">
        <f>[2]Base!EL457</f>
        <v>0.19244626086956521</v>
      </c>
    </row>
    <row r="458" spans="2:19" ht="13.2" x14ac:dyDescent="0.25">
      <c r="B458" s="51" t="str">
        <f>[2]Base!A458</f>
        <v>MULTILASER</v>
      </c>
      <c r="C458" s="52" t="str">
        <f>[2]Base!C458</f>
        <v>NM</v>
      </c>
      <c r="D458" s="52" t="str">
        <f>[2]Base!EQ458</f>
        <v>Computadores e Equipamentos</v>
      </c>
      <c r="E458" s="52" t="str">
        <f>[2]Base!M458</f>
        <v>Itáu BBA</v>
      </c>
      <c r="F458" s="52" t="str">
        <f>[2]Base!F458</f>
        <v>IPO</v>
      </c>
      <c r="G458" s="52" t="str">
        <f>[2]Base!G458</f>
        <v>ICVM 400</v>
      </c>
      <c r="H458" s="53">
        <f>[2]Base!X458</f>
        <v>44397</v>
      </c>
      <c r="I458" s="54">
        <f>[2]Base!W458</f>
        <v>11.1</v>
      </c>
      <c r="J458" s="55">
        <f>[2]Base!J458</f>
        <v>44399</v>
      </c>
      <c r="K458" s="114">
        <f>[2]Base!BL458</f>
        <v>18708</v>
      </c>
      <c r="L458" s="114">
        <f>[2]Base!DZ458</f>
        <v>19331</v>
      </c>
      <c r="M458" s="57">
        <f>[2]Base!AO458</f>
        <v>1912676941.8</v>
      </c>
      <c r="N458" s="57">
        <f>[2]Base!AP458</f>
        <v>0</v>
      </c>
      <c r="O458" s="58">
        <f>[2]Base!AQ458</f>
        <v>1912676941.8</v>
      </c>
      <c r="P458" s="59">
        <f>[2]Base!EF458</f>
        <v>0.12056232731231015</v>
      </c>
      <c r="Q458" s="59">
        <f>[2]Base!EH458</f>
        <v>0.74760222427019796</v>
      </c>
      <c r="R458" s="59">
        <f>[2]Base!EJ458</f>
        <v>0.27520215829267858</v>
      </c>
      <c r="S458" s="60">
        <f>[2]Base!EL458</f>
        <v>6.6332860624440234E-3</v>
      </c>
    </row>
    <row r="459" spans="2:19" ht="13.2" x14ac:dyDescent="0.25">
      <c r="B459" s="51" t="str">
        <f>[2]Base!A459</f>
        <v>DESKTOP</v>
      </c>
      <c r="C459" s="52" t="str">
        <f>[2]Base!C459</f>
        <v>NM</v>
      </c>
      <c r="D459" s="52" t="str">
        <f>[2]Base!EQ459</f>
        <v>Computadores e Equipamentos</v>
      </c>
      <c r="E459" s="52" t="str">
        <f>[2]Base!M459</f>
        <v>Itaú BBA</v>
      </c>
      <c r="F459" s="52" t="str">
        <f>[2]Base!F459</f>
        <v>IPO</v>
      </c>
      <c r="G459" s="52" t="str">
        <f>[2]Base!G459</f>
        <v>ICVM 400</v>
      </c>
      <c r="H459" s="53">
        <f>[2]Base!X459</f>
        <v>44396</v>
      </c>
      <c r="I459" s="54">
        <f>[2]Base!W459</f>
        <v>23.5</v>
      </c>
      <c r="J459" s="55">
        <f>[2]Base!J459</f>
        <v>44398</v>
      </c>
      <c r="K459" s="114">
        <f>[2]Base!BL459</f>
        <v>8393</v>
      </c>
      <c r="L459" s="114">
        <f>[2]Base!DZ459</f>
        <v>8845</v>
      </c>
      <c r="M459" s="57">
        <f>[2]Base!AO459</f>
        <v>715222500</v>
      </c>
      <c r="N459" s="57">
        <f>[2]Base!AP459</f>
        <v>0</v>
      </c>
      <c r="O459" s="58">
        <f>[2]Base!AQ459</f>
        <v>715222500</v>
      </c>
      <c r="P459" s="59">
        <f>[2]Base!EF459</f>
        <v>0.13538975057741184</v>
      </c>
      <c r="Q459" s="59">
        <f>[2]Base!EH459</f>
        <v>1.0877674117453784</v>
      </c>
      <c r="R459" s="59">
        <f>[2]Base!EJ459</f>
        <v>0.12584238347877347</v>
      </c>
      <c r="S459" s="60">
        <f>[2]Base!EL459</f>
        <v>3.9416306690246332E-3</v>
      </c>
    </row>
    <row r="460" spans="2:19" ht="13.2" x14ac:dyDescent="0.25">
      <c r="B460" s="51" t="str">
        <f>[2]Base!A460</f>
        <v>CBA</v>
      </c>
      <c r="C460" s="52" t="str">
        <f>[2]Base!C460</f>
        <v>NM</v>
      </c>
      <c r="D460" s="52" t="str">
        <f>[2]Base!EQ460</f>
        <v>Minerais Metálicos</v>
      </c>
      <c r="E460" s="52" t="str">
        <f>[2]Base!M460</f>
        <v>BofA Merrill Lynch</v>
      </c>
      <c r="F460" s="52" t="str">
        <f>[2]Base!F460</f>
        <v>IPO</v>
      </c>
      <c r="G460" s="52" t="str">
        <f>[2]Base!G460</f>
        <v>ICVM 400</v>
      </c>
      <c r="H460" s="53">
        <f>[2]Base!X460</f>
        <v>44390</v>
      </c>
      <c r="I460" s="54">
        <f>[2]Base!W460</f>
        <v>11.2</v>
      </c>
      <c r="J460" s="55">
        <f>[2]Base!J460</f>
        <v>44392</v>
      </c>
      <c r="K460" s="114">
        <f>[2]Base!BL460</f>
        <v>7782</v>
      </c>
      <c r="L460" s="114">
        <f>[2]Base!DZ460</f>
        <v>8191</v>
      </c>
      <c r="M460" s="57">
        <f>[2]Base!AO460</f>
        <v>700000000</v>
      </c>
      <c r="N460" s="57">
        <f>[2]Base!AP460</f>
        <v>910000000</v>
      </c>
      <c r="O460" s="58">
        <f>[2]Base!AQ460</f>
        <v>1610000000</v>
      </c>
      <c r="P460" s="59">
        <f>[2]Base!EF460</f>
        <v>0.1055669008695652</v>
      </c>
      <c r="Q460" s="59">
        <f>[2]Base!EH460</f>
        <v>0.57626807652173906</v>
      </c>
      <c r="R460" s="59">
        <f>[2]Base!EJ460</f>
        <v>0.28857176347826086</v>
      </c>
      <c r="S460" s="60">
        <f>[2]Base!EL460</f>
        <v>0.16002804173913043</v>
      </c>
    </row>
    <row r="461" spans="2:19" ht="13.2" x14ac:dyDescent="0.25">
      <c r="B461" s="51" t="str">
        <f>[2]Base!A461</f>
        <v>PETROBRAS BR</v>
      </c>
      <c r="C461" s="52" t="str">
        <f>[2]Base!C461</f>
        <v>NM</v>
      </c>
      <c r="D461" s="52" t="str">
        <f>[2]Base!EQ461</f>
        <v>Exploração. Refino e Distribuição</v>
      </c>
      <c r="E461" s="52" t="str">
        <f>[2]Base!M461</f>
        <v>Morgan Stanley</v>
      </c>
      <c r="F461" s="52" t="str">
        <f>[2]Base!F461</f>
        <v>FOLLOW-ON</v>
      </c>
      <c r="G461" s="52" t="str">
        <f>[2]Base!G461</f>
        <v>ICVM 400</v>
      </c>
      <c r="H461" s="53">
        <f>[2]Base!X461</f>
        <v>44378</v>
      </c>
      <c r="I461" s="54">
        <f>[2]Base!W461</f>
        <v>26</v>
      </c>
      <c r="J461" s="55">
        <f>[2]Base!J461</f>
        <v>44379</v>
      </c>
      <c r="K461" s="114">
        <f>[2]Base!BL461</f>
        <v>4859</v>
      </c>
      <c r="L461" s="114">
        <f>[2]Base!DZ461</f>
        <v>5795</v>
      </c>
      <c r="M461" s="57">
        <f>[2]Base!AO461</f>
        <v>0</v>
      </c>
      <c r="N461" s="57">
        <f>[2]Base!AP461</f>
        <v>11358750000</v>
      </c>
      <c r="O461" s="58">
        <f>[2]Base!AQ461</f>
        <v>11358750000</v>
      </c>
      <c r="P461" s="59">
        <f>[2]Base!EF461</f>
        <v>6.189990042918455E-2</v>
      </c>
      <c r="Q461" s="59">
        <f>[2]Base!EH461</f>
        <v>0.59253524234620891</v>
      </c>
      <c r="R461" s="59">
        <f>[2]Base!EJ461</f>
        <v>0.34119225865522174</v>
      </c>
      <c r="S461" s="60">
        <f>[2]Base!EL461</f>
        <v>4.3725985693848354E-3</v>
      </c>
    </row>
    <row r="462" spans="2:19" ht="13.2" x14ac:dyDescent="0.25">
      <c r="B462" s="51" t="str">
        <f>[2]Base!A462</f>
        <v>AGROGALAXY</v>
      </c>
      <c r="C462" s="52" t="str">
        <f>[2]Base!C462</f>
        <v>NM</v>
      </c>
      <c r="D462" s="52" t="str">
        <f>[2]Base!EQ462</f>
        <v>Agricultura</v>
      </c>
      <c r="E462" s="52" t="str">
        <f>[2]Base!M462</f>
        <v>Itaú BBA</v>
      </c>
      <c r="F462" s="52" t="str">
        <f>[2]Base!F462</f>
        <v>IPO</v>
      </c>
      <c r="G462" s="52" t="str">
        <f>[2]Base!G462</f>
        <v>ICVM 476</v>
      </c>
      <c r="H462" s="53">
        <f>[2]Base!X462</f>
        <v>44399</v>
      </c>
      <c r="I462" s="54">
        <f>[2]Base!W462</f>
        <v>13.75</v>
      </c>
      <c r="J462" s="55">
        <f>[2]Base!J462</f>
        <v>44403</v>
      </c>
      <c r="K462" s="114">
        <f>[2]Base!BL462</f>
        <v>0</v>
      </c>
      <c r="L462" s="114">
        <f>[2]Base!DZ462</f>
        <v>120</v>
      </c>
      <c r="M462" s="57">
        <f>[2]Base!AO462</f>
        <v>349999993.75</v>
      </c>
      <c r="N462" s="57">
        <f>[2]Base!AP462</f>
        <v>0</v>
      </c>
      <c r="O462" s="58">
        <f>[2]Base!AQ462</f>
        <v>349999993.75</v>
      </c>
      <c r="P462" s="59">
        <f>[2]Base!EF462</f>
        <v>0</v>
      </c>
      <c r="Q462" s="59">
        <f>[2]Base!EH462</f>
        <v>0</v>
      </c>
      <c r="R462" s="59">
        <f>[2]Base!EJ462</f>
        <v>0</v>
      </c>
      <c r="S462" s="60">
        <f>[2]Base!EL462</f>
        <v>0</v>
      </c>
    </row>
    <row r="463" spans="2:19" ht="13.2" x14ac:dyDescent="0.25">
      <c r="B463" s="51" t="str">
        <f>[2]Base!A463</f>
        <v>UNIFIQUE</v>
      </c>
      <c r="C463" s="52" t="str">
        <f>[2]Base!C463</f>
        <v>NM</v>
      </c>
      <c r="D463" s="52" t="str">
        <f>[2]Base!EQ463</f>
        <v>Telecomunicações</v>
      </c>
      <c r="E463" s="52" t="str">
        <f>[2]Base!M463</f>
        <v>XP Investimentos</v>
      </c>
      <c r="F463" s="52" t="str">
        <f>[2]Base!F463</f>
        <v>IPO</v>
      </c>
      <c r="G463" s="52" t="str">
        <f>[2]Base!G463</f>
        <v>ICVM 400</v>
      </c>
      <c r="H463" s="53">
        <f>[2]Base!X463</f>
        <v>44400</v>
      </c>
      <c r="I463" s="54">
        <f>[2]Base!W463</f>
        <v>8.6</v>
      </c>
      <c r="J463" s="55">
        <f>[2]Base!J463</f>
        <v>44404</v>
      </c>
      <c r="K463" s="114">
        <f>[2]Base!BL463</f>
        <v>9372</v>
      </c>
      <c r="L463" s="114">
        <f>[2]Base!DZ463</f>
        <v>9957</v>
      </c>
      <c r="M463" s="57">
        <f>[2]Base!AO463</f>
        <v>863420899.39999998</v>
      </c>
      <c r="N463" s="57">
        <f>[2]Base!AP463</f>
        <v>0</v>
      </c>
      <c r="O463" s="58">
        <f>[2]Base!AQ463</f>
        <v>863420899.39999998</v>
      </c>
      <c r="P463" s="59">
        <f>[2]Base!EF463</f>
        <v>0.13741440893893783</v>
      </c>
      <c r="Q463" s="59">
        <f>[2]Base!EH463</f>
        <v>0.57668200068671305</v>
      </c>
      <c r="R463" s="59">
        <f>[2]Base!EJ463</f>
        <v>0.26737908447076225</v>
      </c>
      <c r="S463" s="60">
        <f>[2]Base!EL463</f>
        <v>1.7299031783209139E-2</v>
      </c>
    </row>
    <row r="464" spans="2:19" ht="13.2" x14ac:dyDescent="0.25">
      <c r="B464" s="51" t="str">
        <f>[2]Base!A464</f>
        <v>ARMAC</v>
      </c>
      <c r="C464" s="52" t="str">
        <f>[2]Base!C464</f>
        <v>NM</v>
      </c>
      <c r="D464" s="52" t="str">
        <f>[2]Base!EQ464</f>
        <v>Máq. e Equip. Industriais</v>
      </c>
      <c r="E464" s="52" t="str">
        <f>[2]Base!M464</f>
        <v>Santander</v>
      </c>
      <c r="F464" s="52" t="str">
        <f>[2]Base!F464</f>
        <v>IPO</v>
      </c>
      <c r="G464" s="52" t="str">
        <f>[2]Base!G464</f>
        <v>ICVM 400</v>
      </c>
      <c r="H464" s="53">
        <f>[2]Base!X464</f>
        <v>44403</v>
      </c>
      <c r="I464" s="54">
        <f>[2]Base!W464</f>
        <v>16.63</v>
      </c>
      <c r="J464" s="55">
        <f>[2]Base!J464</f>
        <v>44405</v>
      </c>
      <c r="K464" s="114">
        <f>[2]Base!BL464</f>
        <v>8076</v>
      </c>
      <c r="L464" s="114">
        <f>[2]Base!DZ464</f>
        <v>8716</v>
      </c>
      <c r="M464" s="57">
        <f>[2]Base!AO464</f>
        <v>1000300752.8799999</v>
      </c>
      <c r="N464" s="57">
        <f>[2]Base!AP464</f>
        <v>532483071.00999999</v>
      </c>
      <c r="O464" s="58">
        <f>[2]Base!AQ464</f>
        <v>1532783823.8899999</v>
      </c>
      <c r="P464" s="59">
        <f>[2]Base!EF464</f>
        <v>0.1085082388643057</v>
      </c>
      <c r="Q464" s="59">
        <f>[2]Base!EH464</f>
        <v>0.60516811563544293</v>
      </c>
      <c r="R464" s="59">
        <f>[2]Base!EJ464</f>
        <v>0.28248616306579283</v>
      </c>
      <c r="S464" s="60">
        <f>[2]Base!EL464</f>
        <v>3.8374824344584967E-3</v>
      </c>
    </row>
    <row r="465" spans="2:20" ht="13.2" x14ac:dyDescent="0.25">
      <c r="B465" s="51" t="str">
        <f>[2]Base!A465</f>
        <v>TC</v>
      </c>
      <c r="C465" s="52" t="str">
        <f>[2]Base!C465</f>
        <v>NM</v>
      </c>
      <c r="D465" s="52" t="str">
        <f>[2]Base!EQ465</f>
        <v>Programas e Serviços</v>
      </c>
      <c r="E465" s="52" t="str">
        <f>[2]Base!M465</f>
        <v>BTG Pactual</v>
      </c>
      <c r="F465" s="52" t="str">
        <f>[2]Base!F465</f>
        <v>IPO</v>
      </c>
      <c r="G465" s="52" t="str">
        <f>[2]Base!G465</f>
        <v>ICVM 400</v>
      </c>
      <c r="H465" s="53">
        <f>[2]Base!X465</f>
        <v>44403</v>
      </c>
      <c r="I465" s="54">
        <f>[2]Base!W465</f>
        <v>9.5</v>
      </c>
      <c r="J465" s="55">
        <f>[2]Base!J465</f>
        <v>44405</v>
      </c>
      <c r="K465" s="114">
        <f>[2]Base!BL465</f>
        <v>3762</v>
      </c>
      <c r="L465" s="114">
        <f>[2]Base!DZ465</f>
        <v>4230</v>
      </c>
      <c r="M465" s="57">
        <f>[2]Base!AO465</f>
        <v>544930345.5</v>
      </c>
      <c r="N465" s="57">
        <f>[2]Base!AP465</f>
        <v>0</v>
      </c>
      <c r="O465" s="58">
        <f>[2]Base!AQ465</f>
        <v>544930345.5</v>
      </c>
      <c r="P465" s="59">
        <f>[2]Base!EF465</f>
        <v>0.10257094938683313</v>
      </c>
      <c r="Q465" s="59">
        <f>[2]Base!EH465</f>
        <v>0.69925371530564573</v>
      </c>
      <c r="R465" s="59">
        <f>[2]Base!EJ465</f>
        <v>2.3509721698243963E-2</v>
      </c>
      <c r="S465" s="60">
        <f>[2]Base!EL465</f>
        <v>0.17466561360927718</v>
      </c>
    </row>
    <row r="466" spans="2:20" ht="13.2" x14ac:dyDescent="0.25">
      <c r="B466" s="51" t="str">
        <f>[2]Base!A466</f>
        <v>BRISANET</v>
      </c>
      <c r="C466" s="52" t="str">
        <f>[2]Base!C466</f>
        <v>NM</v>
      </c>
      <c r="D466" s="52" t="str">
        <f>[2]Base!EQ466</f>
        <v>Telecomunicações</v>
      </c>
      <c r="E466" s="52" t="str">
        <f>[2]Base!M466</f>
        <v>Santander</v>
      </c>
      <c r="F466" s="52" t="str">
        <f>[2]Base!F466</f>
        <v>IPO</v>
      </c>
      <c r="G466" s="52" t="str">
        <f>[2]Base!G466</f>
        <v>ICVM 400</v>
      </c>
      <c r="H466" s="53">
        <f>[2]Base!X466</f>
        <v>44404</v>
      </c>
      <c r="I466" s="54">
        <f>[2]Base!W466</f>
        <v>13.92</v>
      </c>
      <c r="J466" s="55">
        <f>[2]Base!J466</f>
        <v>44406</v>
      </c>
      <c r="K466" s="114">
        <f>[2]Base!BL466</f>
        <v>5965</v>
      </c>
      <c r="L466" s="114">
        <f>[2]Base!DZ466</f>
        <v>6183</v>
      </c>
      <c r="M466" s="57">
        <f>[2]Base!AO466</f>
        <v>1340059997.76</v>
      </c>
      <c r="N466" s="57">
        <f>[2]Base!AP466</f>
        <v>0</v>
      </c>
      <c r="O466" s="58">
        <f>[2]Base!AQ466</f>
        <v>1340059997.76</v>
      </c>
      <c r="P466" s="59">
        <f>[2]Base!EF466</f>
        <v>0.1450352158086114</v>
      </c>
      <c r="Q466" s="59">
        <f>[2]Base!EH466</f>
        <v>0.77910457999665683</v>
      </c>
      <c r="R466" s="59">
        <f>[2]Base!EJ466</f>
        <v>7.3797487753256605E-2</v>
      </c>
      <c r="S466" s="60">
        <f>[2]Base!EL466</f>
        <v>2.0627164414751199E-3</v>
      </c>
    </row>
    <row r="467" spans="2:20" ht="13.2" x14ac:dyDescent="0.25">
      <c r="B467" s="51" t="str">
        <f>[2]Base!A467</f>
        <v>CLEARSALE</v>
      </c>
      <c r="C467" s="52" t="str">
        <f>[2]Base!C467</f>
        <v>NM</v>
      </c>
      <c r="D467" s="52" t="str">
        <f>[2]Base!EQ467</f>
        <v>Serviços Financeiros Diversos</v>
      </c>
      <c r="E467" s="52" t="str">
        <f>[2]Base!M467</f>
        <v>Itaú BBA</v>
      </c>
      <c r="F467" s="52" t="str">
        <f>[2]Base!F467</f>
        <v>IPO</v>
      </c>
      <c r="G467" s="52" t="str">
        <f>[2]Base!G467</f>
        <v>ICVM 400</v>
      </c>
      <c r="H467" s="53">
        <f>[2]Base!X467</f>
        <v>44405</v>
      </c>
      <c r="I467" s="54">
        <f>[2]Base!W467</f>
        <v>25</v>
      </c>
      <c r="J467" s="55">
        <f>[2]Base!J467</f>
        <v>44407</v>
      </c>
      <c r="K467" s="114">
        <f>[2]Base!BL467</f>
        <v>7444</v>
      </c>
      <c r="L467" s="114">
        <f>[2]Base!DZ467</f>
        <v>8026</v>
      </c>
      <c r="M467" s="57">
        <f>[2]Base!AO467</f>
        <v>795156250</v>
      </c>
      <c r="N467" s="57">
        <f>[2]Base!AP467</f>
        <v>509967250</v>
      </c>
      <c r="O467" s="58">
        <f>[2]Base!AQ467</f>
        <v>1305123500</v>
      </c>
      <c r="P467" s="59">
        <f>[2]Base!EF467</f>
        <v>9.6234015401607587E-2</v>
      </c>
      <c r="Q467" s="59">
        <f>[2]Base!EH467</f>
        <v>0.505568266144928</v>
      </c>
      <c r="R467" s="59">
        <f>[2]Base!EJ467</f>
        <v>0.39317903631342166</v>
      </c>
      <c r="S467" s="60">
        <f>[2]Base!EL467</f>
        <v>6.5138280017178448E-3</v>
      </c>
    </row>
    <row r="468" spans="2:20" ht="13.2" x14ac:dyDescent="0.25">
      <c r="B468" s="51" t="str">
        <f>[2]Base!A468</f>
        <v>VIVEO</v>
      </c>
      <c r="C468" s="52" t="str">
        <f>[2]Base!C468</f>
        <v>NM</v>
      </c>
      <c r="D468" s="52" t="str">
        <f>[2]Base!EQ468</f>
        <v>Medicamentos e Outros Produtos</v>
      </c>
      <c r="E468" s="52" t="str">
        <f>[2]Base!M468</f>
        <v>JP Morgan</v>
      </c>
      <c r="F468" s="52" t="str">
        <f>[2]Base!F468</f>
        <v>IPO</v>
      </c>
      <c r="G468" s="52" t="str">
        <f>[2]Base!G468</f>
        <v>ICVM 476</v>
      </c>
      <c r="H468" s="53">
        <f>[2]Base!X468</f>
        <v>44413</v>
      </c>
      <c r="I468" s="54">
        <f>[2]Base!W468</f>
        <v>19.920000000000002</v>
      </c>
      <c r="J468" s="55">
        <f>[2]Base!J468</f>
        <v>44417</v>
      </c>
      <c r="K468" s="114">
        <f>[2]Base!BL468</f>
        <v>1</v>
      </c>
      <c r="L468" s="114">
        <f>[2]Base!DZ468</f>
        <v>215</v>
      </c>
      <c r="M468" s="57">
        <f>[2]Base!AO468</f>
        <v>699999995.04000008</v>
      </c>
      <c r="N468" s="57">
        <f>[2]Base!AP468</f>
        <v>1176980291.5200002</v>
      </c>
      <c r="O468" s="58">
        <f>[2]Base!AQ468</f>
        <v>1876980286.5600004</v>
      </c>
      <c r="P468" s="59">
        <f>[2]Base!EF468</f>
        <v>6.8685985102315473E-5</v>
      </c>
      <c r="Q468" s="59">
        <f>[2]Base!EH468</f>
        <v>0.38145919682098506</v>
      </c>
      <c r="R468" s="59">
        <f>[2]Base!EJ468</f>
        <v>0.61146401354243107</v>
      </c>
      <c r="S468" s="60">
        <f>[2]Base!EL468</f>
        <v>0</v>
      </c>
    </row>
    <row r="469" spans="2:20" ht="13.2" x14ac:dyDescent="0.25">
      <c r="B469" s="51" t="str">
        <f>[2]Base!A469</f>
        <v>RAIZEN</v>
      </c>
      <c r="C469" s="52" t="str">
        <f>[2]Base!C469</f>
        <v>N2</v>
      </c>
      <c r="D469" s="52" t="str">
        <f>[2]Base!EQ469</f>
        <v>Exploração, Refino e Distribuição</v>
      </c>
      <c r="E469" s="52" t="str">
        <f>[2]Base!M469</f>
        <v>BTG Pactual</v>
      </c>
      <c r="F469" s="52" t="str">
        <f>[2]Base!F469</f>
        <v>IPO</v>
      </c>
      <c r="G469" s="52" t="str">
        <f>[2]Base!G469</f>
        <v>ICVM 400</v>
      </c>
      <c r="H469" s="53">
        <f>[2]Base!X469</f>
        <v>44411</v>
      </c>
      <c r="I469" s="54">
        <f>[2]Base!W469</f>
        <v>7.4</v>
      </c>
      <c r="J469" s="55">
        <f>[2]Base!J469</f>
        <v>44413</v>
      </c>
      <c r="K469" s="114">
        <f>[2]Base!BL469</f>
        <v>82316</v>
      </c>
      <c r="L469" s="114">
        <f>[2]Base!DZ469</f>
        <v>85700</v>
      </c>
      <c r="M469" s="57">
        <f>[2]Base!AO469</f>
        <v>6709671390</v>
      </c>
      <c r="N469" s="57">
        <f>[2]Base!AP469</f>
        <v>0</v>
      </c>
      <c r="O469" s="58">
        <f>[2]Base!AQ469</f>
        <v>6709671390</v>
      </c>
      <c r="P469" s="59">
        <f>[2]Base!EF469</f>
        <v>0.14761923778803718</v>
      </c>
      <c r="Q469" s="59">
        <f>[2]Base!EH469</f>
        <v>0.36980073890026977</v>
      </c>
      <c r="R469" s="59">
        <f>[2]Base!EJ469</f>
        <v>0.49911008601570284</v>
      </c>
      <c r="S469" s="60">
        <f>[2]Base!EL469</f>
        <v>1.1836485959411495E-2</v>
      </c>
    </row>
    <row r="470" spans="2:20" ht="13.2" x14ac:dyDescent="0.25">
      <c r="B470" s="51" t="str">
        <f>[2]Base!A470</f>
        <v>ONCOCLINICAS</v>
      </c>
      <c r="C470" s="52" t="str">
        <f>[2]Base!C470</f>
        <v>NM</v>
      </c>
      <c r="D470" s="52" t="str">
        <f>[2]Base!EQ470</f>
        <v>Serv.Méd.Hospit..Análises e Diagnósticos</v>
      </c>
      <c r="E470" s="52" t="str">
        <f>[2]Base!M470</f>
        <v>Goldman Sachs</v>
      </c>
      <c r="F470" s="52" t="str">
        <f>[2]Base!F470</f>
        <v>IPO</v>
      </c>
      <c r="G470" s="52" t="str">
        <f>[2]Base!G470</f>
        <v>ICVM 400</v>
      </c>
      <c r="H470" s="53">
        <f>[2]Base!X470</f>
        <v>44414</v>
      </c>
      <c r="I470" s="54">
        <f>[2]Base!W470</f>
        <v>19.75</v>
      </c>
      <c r="J470" s="55">
        <f>[2]Base!J470</f>
        <v>44418</v>
      </c>
      <c r="K470" s="114">
        <f>[2]Base!BL470</f>
        <v>6528</v>
      </c>
      <c r="L470" s="114">
        <f>[2]Base!DZ470</f>
        <v>6914</v>
      </c>
      <c r="M470" s="57">
        <f>[2]Base!AO470</f>
        <v>1780423533.25</v>
      </c>
      <c r="N470" s="57">
        <f>[2]Base!AP470</f>
        <v>889239089</v>
      </c>
      <c r="O470" s="58">
        <f>[2]Base!AQ470</f>
        <v>2669662622.25</v>
      </c>
      <c r="P470" s="59">
        <f>[2]Base!EF470</f>
        <v>0.11072559344306214</v>
      </c>
      <c r="Q470" s="59">
        <f>[2]Base!EH470</f>
        <v>0.6638166949944565</v>
      </c>
      <c r="R470" s="59">
        <f>[2]Base!EJ470</f>
        <v>0.3556375446483423</v>
      </c>
      <c r="S470" s="60">
        <f>[2]Base!EL470</f>
        <v>1.5844453866414868E-2</v>
      </c>
    </row>
    <row r="471" spans="2:20" ht="13.2" x14ac:dyDescent="0.25">
      <c r="B471" s="125" t="str">
        <f>[2]Base!A471</f>
        <v>KORA SAUDE</v>
      </c>
      <c r="C471" s="126" t="str">
        <f>[2]Base!C471</f>
        <v>NM</v>
      </c>
      <c r="D471" s="126" t="str">
        <f>[2]Base!EQ471</f>
        <v>Serv.Méd.Hospit..Análises e Diagnósticos</v>
      </c>
      <c r="E471" s="126" t="str">
        <f>[2]Base!M471</f>
        <v>Itaú BBA</v>
      </c>
      <c r="F471" s="126" t="str">
        <f>[2]Base!F471</f>
        <v>IPO</v>
      </c>
      <c r="G471" s="126" t="str">
        <f>[2]Base!G471</f>
        <v>ICVM 476</v>
      </c>
      <c r="H471" s="127">
        <f>[2]Base!X471</f>
        <v>44419</v>
      </c>
      <c r="I471" s="128">
        <f>[2]Base!W471</f>
        <v>7.2</v>
      </c>
      <c r="J471" s="129">
        <f>[2]Base!J471</f>
        <v>44421</v>
      </c>
      <c r="K471" s="130">
        <f>[2]Base!BL471</f>
        <v>19</v>
      </c>
      <c r="L471" s="130">
        <f>[2]Base!DZ471</f>
        <v>80</v>
      </c>
      <c r="M471" s="131">
        <f>[2]Base!AO471</f>
        <v>769920796.80000007</v>
      </c>
      <c r="N471" s="131">
        <f>[2]Base!AP471</f>
        <v>0</v>
      </c>
      <c r="O471" s="132">
        <f>[2]Base!AQ471</f>
        <v>769920796.80000007</v>
      </c>
      <c r="P471" s="133">
        <f>[2]Base!EF471</f>
        <v>1.6061111807078804E-3</v>
      </c>
      <c r="Q471" s="133">
        <f>[2]Base!EH471</f>
        <v>0.79753485728936213</v>
      </c>
      <c r="R471" s="133">
        <f>[2]Base!EJ471</f>
        <v>0.27233651054949654</v>
      </c>
      <c r="S471" s="134">
        <f>[2]Base!EL471</f>
        <v>6.4900182210534618E-2</v>
      </c>
      <c r="T471" s="135"/>
    </row>
    <row r="472" spans="2:20" ht="13.2" x14ac:dyDescent="0.25">
      <c r="B472" s="125" t="str">
        <f>[2]Base!A472</f>
        <v>VITTIA</v>
      </c>
      <c r="C472" s="126" t="str">
        <f>[2]Base!C472</f>
        <v>NM</v>
      </c>
      <c r="D472" s="126" t="str">
        <f>[2]Base!EQ472</f>
        <v>Fertilizantes e Defensivos</v>
      </c>
      <c r="E472" s="126" t="str">
        <f>[2]Base!M472</f>
        <v>XP Investimentos</v>
      </c>
      <c r="F472" s="126" t="str">
        <f>[2]Base!F472</f>
        <v>IPO</v>
      </c>
      <c r="G472" s="126" t="str">
        <f>[2]Base!G472</f>
        <v>ICVM 476</v>
      </c>
      <c r="H472" s="127">
        <f>[2]Base!X472</f>
        <v>44439</v>
      </c>
      <c r="I472" s="128">
        <f>[2]Base!W472</f>
        <v>8.6</v>
      </c>
      <c r="J472" s="129">
        <f>[2]Base!J472</f>
        <v>44441</v>
      </c>
      <c r="K472" s="130">
        <f>[2]Base!BL472</f>
        <v>2</v>
      </c>
      <c r="L472" s="130">
        <f>[2]Base!DZ472</f>
        <v>267</v>
      </c>
      <c r="M472" s="131">
        <f>[2]Base!AO472</f>
        <v>71611907.599999994</v>
      </c>
      <c r="N472" s="131">
        <f>[2]Base!AP472</f>
        <v>310388095.39999998</v>
      </c>
      <c r="O472" s="132">
        <f>[2]Base!AQ472</f>
        <v>382000003</v>
      </c>
      <c r="P472" s="133">
        <f>[2]Base!EF472</f>
        <v>5.0955449861606415E-3</v>
      </c>
      <c r="Q472" s="133">
        <f>[2]Base!EH472</f>
        <v>1.0072587376393292</v>
      </c>
      <c r="R472" s="133">
        <f>[2]Base!EJ472</f>
        <v>0.11636587866728368</v>
      </c>
      <c r="S472" s="134">
        <f>[2]Base!EL472</f>
        <v>5.0955449861606415E-3</v>
      </c>
      <c r="T472" s="135"/>
    </row>
    <row r="473" spans="2:20" ht="13.2" x14ac:dyDescent="0.25">
      <c r="B473" s="125" t="str">
        <f>[2]Base!A473</f>
        <v>SINQIA</v>
      </c>
      <c r="C473" s="126" t="str">
        <f>[2]Base!C473</f>
        <v>NM</v>
      </c>
      <c r="D473" s="126" t="str">
        <f>[2]Base!EQ473</f>
        <v>Programas e Serviços</v>
      </c>
      <c r="E473" s="126" t="str">
        <f>[2]Base!M473</f>
        <v>BTG Pactual</v>
      </c>
      <c r="F473" s="126" t="str">
        <f>[2]Base!F473</f>
        <v>FOLLOW-ON</v>
      </c>
      <c r="G473" s="126" t="str">
        <f>[2]Base!G473</f>
        <v>ICVM 476</v>
      </c>
      <c r="H473" s="127">
        <f>[2]Base!X473</f>
        <v>44441</v>
      </c>
      <c r="I473" s="128">
        <f>[2]Base!W473</f>
        <v>23</v>
      </c>
      <c r="J473" s="129">
        <f>[2]Base!J473</f>
        <v>44445</v>
      </c>
      <c r="K473" s="130">
        <f>[2]Base!BL473</f>
        <v>1</v>
      </c>
      <c r="L473" s="130">
        <f>[2]Base!DZ473</f>
        <v>1844</v>
      </c>
      <c r="M473" s="131">
        <f>[2]Base!AO473</f>
        <v>400042680</v>
      </c>
      <c r="N473" s="131">
        <f>[2]Base!AP473</f>
        <v>0</v>
      </c>
      <c r="O473" s="132">
        <f>[2]Base!AQ473</f>
        <v>400042680</v>
      </c>
      <c r="P473" s="133">
        <f>[2]Base!EF473</f>
        <v>3.5071257896782414E-4</v>
      </c>
      <c r="Q473" s="133">
        <f>[2]Base!EH473</f>
        <v>0.54959679552191776</v>
      </c>
      <c r="R473" s="133">
        <f>[2]Base!EJ473</f>
        <v>0.19200427064432224</v>
      </c>
      <c r="S473" s="134">
        <f>[2]Base!EL473</f>
        <v>0.25649588688886898</v>
      </c>
      <c r="T473" s="135"/>
    </row>
    <row r="474" spans="2:20" ht="13.2" x14ac:dyDescent="0.25">
      <c r="B474" s="125" t="str">
        <f>[2]Base!A474</f>
        <v>AES BRASIL</v>
      </c>
      <c r="C474" s="126" t="str">
        <f>[2]Base!C474</f>
        <v>NM</v>
      </c>
      <c r="D474" s="126" t="str">
        <f>[2]Base!EQ474</f>
        <v>Energia Elétrica</v>
      </c>
      <c r="E474" s="126" t="str">
        <f>[2]Base!M474</f>
        <v>Bradesco BBI</v>
      </c>
      <c r="F474" s="126" t="str">
        <f>[2]Base!F474</f>
        <v>FOLLOW-ON</v>
      </c>
      <c r="G474" s="126" t="str">
        <f>[2]Base!G474</f>
        <v>ICVM 476</v>
      </c>
      <c r="H474" s="127">
        <f>[2]Base!X474</f>
        <v>44467</v>
      </c>
      <c r="I474" s="128">
        <f>[2]Base!W474</f>
        <v>12</v>
      </c>
      <c r="J474" s="129">
        <f>[2]Base!J474</f>
        <v>44469</v>
      </c>
      <c r="K474" s="130">
        <f>[2]Base!BL474</f>
        <v>2998</v>
      </c>
      <c r="L474" s="130">
        <f>[2]Base!DZ474</f>
        <v>3385</v>
      </c>
      <c r="M474" s="131">
        <f>[2]Base!AO474</f>
        <v>1116000000</v>
      </c>
      <c r="N474" s="131">
        <f>[2]Base!AP474</f>
        <v>0</v>
      </c>
      <c r="O474" s="132">
        <f>[2]Base!AQ474</f>
        <v>1116000000</v>
      </c>
      <c r="P474" s="133">
        <f>[2]Base!EF474</f>
        <v>1.1760795698924732E-2</v>
      </c>
      <c r="Q474" s="133">
        <f>[2]Base!EH474</f>
        <v>0.2841796451612903</v>
      </c>
      <c r="R474" s="133">
        <f>[2]Base!EJ474</f>
        <v>0.19180716129032258</v>
      </c>
      <c r="S474" s="134">
        <f>[2]Base!EL474</f>
        <v>0.51225239784946242</v>
      </c>
      <c r="T474" s="135"/>
    </row>
    <row r="475" spans="2:20" ht="13.2" x14ac:dyDescent="0.25">
      <c r="B475" s="125" t="str">
        <f>[2]Base!A475</f>
        <v>TOTVS</v>
      </c>
      <c r="C475" s="126" t="str">
        <f>[2]Base!C475</f>
        <v>NM</v>
      </c>
      <c r="D475" s="126" t="str">
        <f>[2]Base!EQ475</f>
        <v>Programas e Serviços</v>
      </c>
      <c r="E475" s="126" t="str">
        <f>[2]Base!M475</f>
        <v>BTG Pactual</v>
      </c>
      <c r="F475" s="126" t="str">
        <f>[2]Base!F475</f>
        <v>FOLLOW-ON</v>
      </c>
      <c r="G475" s="126" t="str">
        <f>[2]Base!G475</f>
        <v>ICVM 476</v>
      </c>
      <c r="H475" s="127">
        <f>[2]Base!X475</f>
        <v>44460</v>
      </c>
      <c r="I475" s="128">
        <f>[2]Base!W475</f>
        <v>36.75</v>
      </c>
      <c r="J475" s="129">
        <f>[2]Base!J475</f>
        <v>44462</v>
      </c>
      <c r="K475" s="130">
        <f>[2]Base!BL475</f>
        <v>0</v>
      </c>
      <c r="L475" s="130">
        <f>[2]Base!DZ475</f>
        <v>990</v>
      </c>
      <c r="M475" s="131">
        <f>[2]Base!AO475</f>
        <v>1443172500</v>
      </c>
      <c r="N475" s="131">
        <f>[2]Base!AP475</f>
        <v>0</v>
      </c>
      <c r="O475" s="132">
        <f>[2]Base!AQ475</f>
        <v>1443172500</v>
      </c>
      <c r="P475" s="133">
        <f>[2]Base!EF475</f>
        <v>0</v>
      </c>
      <c r="Q475" s="133">
        <f>[2]Base!EH475</f>
        <v>0.17988482302011713</v>
      </c>
      <c r="R475" s="133">
        <f>[2]Base!EJ475</f>
        <v>0.41643386809269162</v>
      </c>
      <c r="S475" s="134">
        <f>[2]Base!EL475</f>
        <v>0.40368130888719123</v>
      </c>
      <c r="T475" s="135"/>
    </row>
    <row r="476" spans="2:20" ht="13.2" x14ac:dyDescent="0.25">
      <c r="B476" s="125" t="str">
        <f>[2]Base!A476</f>
        <v>VAMOS</v>
      </c>
      <c r="C476" s="126" t="str">
        <f>[2]Base!C476</f>
        <v>NM</v>
      </c>
      <c r="D476" s="126" t="str">
        <f>[2]Base!EQ476</f>
        <v>Aluguel de carros</v>
      </c>
      <c r="E476" s="126" t="str">
        <f>[2]Base!M476</f>
        <v>BTG Pactual</v>
      </c>
      <c r="F476" s="126" t="str">
        <f>[2]Base!F476</f>
        <v>FOLLOW-ON</v>
      </c>
      <c r="G476" s="126" t="str">
        <f>[2]Base!G476</f>
        <v>ICVM 476</v>
      </c>
      <c r="H476" s="127">
        <f>[2]Base!X476</f>
        <v>44462</v>
      </c>
      <c r="I476" s="128">
        <f>[2]Base!W476</f>
        <v>16.75</v>
      </c>
      <c r="J476" s="129">
        <f>[2]Base!J476</f>
        <v>44466</v>
      </c>
      <c r="K476" s="130">
        <f>[2]Base!BL476</f>
        <v>0</v>
      </c>
      <c r="L476" s="130">
        <f>[2]Base!DZ476</f>
        <v>456</v>
      </c>
      <c r="M476" s="131">
        <f>[2]Base!AO476</f>
        <v>1098532167.5</v>
      </c>
      <c r="N476" s="131">
        <f>[2]Base!AP476</f>
        <v>0</v>
      </c>
      <c r="O476" s="132">
        <f>[2]Base!AQ476</f>
        <v>1098532167.5</v>
      </c>
      <c r="P476" s="133">
        <f>[2]Base!EF476</f>
        <v>5.031714285235075E-5</v>
      </c>
      <c r="Q476" s="133">
        <f>[2]Base!EH476</f>
        <v>0.55581297941373209</v>
      </c>
      <c r="R476" s="133">
        <f>[2]Base!EJ476</f>
        <v>0.35680441009935199</v>
      </c>
      <c r="S476" s="134">
        <f>[2]Base!EL476</f>
        <v>8.7332293344063588E-2</v>
      </c>
      <c r="T476" s="135"/>
    </row>
    <row r="477" spans="2:20" ht="13.2" x14ac:dyDescent="0.25">
      <c r="B477" s="125" t="str">
        <f>[2]Base!A477</f>
        <v>PETZ</v>
      </c>
      <c r="C477" s="126" t="str">
        <f>[2]Base!C477</f>
        <v>NM</v>
      </c>
      <c r="D477" s="126" t="str">
        <f>[2]Base!EQ477</f>
        <v>Produtos Diversos</v>
      </c>
      <c r="E477" s="126" t="str">
        <f>[2]Base!M477</f>
        <v>Itaú BBA</v>
      </c>
      <c r="F477" s="126" t="str">
        <f>[2]Base!F477</f>
        <v>FOLLOW-ON</v>
      </c>
      <c r="G477" s="126" t="str">
        <f>[2]Base!G477</f>
        <v>ICVM 476</v>
      </c>
      <c r="H477" s="127">
        <f>[2]Base!X477</f>
        <v>44518</v>
      </c>
      <c r="I477" s="128">
        <f>[2]Base!W477</f>
        <v>19</v>
      </c>
      <c r="J477" s="129">
        <f>[2]Base!J477</f>
        <v>44522</v>
      </c>
      <c r="K477" s="130">
        <f>[2]Base!BL477</f>
        <v>647</v>
      </c>
      <c r="L477" s="130">
        <f>[2]Base!DZ477</f>
        <v>1098</v>
      </c>
      <c r="M477" s="131">
        <f>[2]Base!AO477</f>
        <v>779000000</v>
      </c>
      <c r="N477" s="131">
        <f>[2]Base!AP477</f>
        <v>0</v>
      </c>
      <c r="O477" s="132">
        <f>[2]Base!AQ477</f>
        <v>779000000</v>
      </c>
      <c r="P477" s="133">
        <f>[2]Base!EF477</f>
        <v>1.8844146341463414E-3</v>
      </c>
      <c r="Q477" s="133">
        <f>[2]Base!EH477</f>
        <v>0.61019204878048783</v>
      </c>
      <c r="R477" s="133">
        <f>[2]Base!EJ477</f>
        <v>0.38791826829268294</v>
      </c>
      <c r="S477" s="134">
        <f>[2]Base!EL477</f>
        <v>5.2682926829268289E-6</v>
      </c>
      <c r="T477" s="135"/>
    </row>
    <row r="478" spans="2:20" ht="13.2" x14ac:dyDescent="0.25">
      <c r="B478" s="125" t="str">
        <f>[2]Base!A478</f>
        <v>3R PETROLEUM</v>
      </c>
      <c r="C478" s="126" t="str">
        <f>[2]Base!C478</f>
        <v>NM</v>
      </c>
      <c r="D478" s="126" t="str">
        <f>[2]Base!EQ478</f>
        <v>Exploração. Refino e Distribuição</v>
      </c>
      <c r="E478" s="126" t="str">
        <f>[2]Base!M478</f>
        <v>Itaú BBA</v>
      </c>
      <c r="F478" s="126" t="str">
        <f>[2]Base!F478</f>
        <v>FOLLOW-ON</v>
      </c>
      <c r="G478" s="126" t="str">
        <f>[2]Base!G478</f>
        <v>ICVM 476</v>
      </c>
      <c r="H478" s="127">
        <f>[2]Base!X478</f>
        <v>44504</v>
      </c>
      <c r="I478" s="128">
        <f>[2]Base!W478</f>
        <v>33</v>
      </c>
      <c r="J478" s="129">
        <f>[2]Base!J478</f>
        <v>44508</v>
      </c>
      <c r="K478" s="130">
        <f>[2]Base!BL478</f>
        <v>1041</v>
      </c>
      <c r="L478" s="130">
        <f>[2]Base!DZ478</f>
        <v>1553</v>
      </c>
      <c r="M478" s="131">
        <f>[2]Base!AO478</f>
        <v>2168100000</v>
      </c>
      <c r="N478" s="131">
        <f>[2]Base!AP478</f>
        <v>240900000</v>
      </c>
      <c r="O478" s="132">
        <f>[2]Base!AQ478</f>
        <v>2409000000</v>
      </c>
      <c r="P478" s="133">
        <f>[2]Base!EF478</f>
        <v>1.1275109589041096E-2</v>
      </c>
      <c r="Q478" s="133">
        <f>[2]Base!EH478</f>
        <v>0.81532327397260274</v>
      </c>
      <c r="R478" s="133">
        <f>[2]Base!EJ478</f>
        <v>0.17070578082191781</v>
      </c>
      <c r="S478" s="134">
        <f>[2]Base!EL478</f>
        <v>2.6958356164383562E-3</v>
      </c>
      <c r="T478" s="135"/>
    </row>
    <row r="479" spans="2:20" ht="13.2" x14ac:dyDescent="0.25">
      <c r="B479" s="125" t="str">
        <f>[2]Base!A479</f>
        <v>NU-NUBANK</v>
      </c>
      <c r="C479" s="126" t="str">
        <f>[2]Base!C479</f>
        <v>BDR Patrocinado Nível 3</v>
      </c>
      <c r="D479" s="126" t="str">
        <f>[2]Base!EQ479</f>
        <v>Bancos</v>
      </c>
      <c r="E479" s="126" t="str">
        <f>[2]Base!M479</f>
        <v>NuInvest Corretora de Valores S.A.</v>
      </c>
      <c r="F479" s="126" t="str">
        <f>[2]Base!F479</f>
        <v>IPO</v>
      </c>
      <c r="G479" s="126" t="str">
        <f>[2]Base!G479</f>
        <v>ICVM 400</v>
      </c>
      <c r="H479" s="127">
        <f>[2]Base!X479</f>
        <v>44538</v>
      </c>
      <c r="I479" s="128">
        <f>[2]Base!W479</f>
        <v>8.36</v>
      </c>
      <c r="J479" s="129">
        <f>[2]Base!J479</f>
        <v>44539</v>
      </c>
      <c r="K479" s="130">
        <f>[2]Base!BL479</f>
        <v>8373110</v>
      </c>
      <c r="L479" s="130">
        <f>[2]Base!DZ479</f>
        <v>8373110</v>
      </c>
      <c r="M479" s="131">
        <f>[2]Base!AO479</f>
        <v>405680536.79999995</v>
      </c>
      <c r="N479" s="131">
        <f>[2]Base!AP479</f>
        <v>0</v>
      </c>
      <c r="O479" s="132">
        <f>[2]Base!AQ479</f>
        <v>405680536.79999995</v>
      </c>
      <c r="P479" s="133">
        <f>[2]Base!EF479</f>
        <v>1</v>
      </c>
      <c r="Q479" s="133">
        <f>[2]Base!EH479</f>
        <v>0</v>
      </c>
      <c r="R479" s="133">
        <f>[2]Base!EJ479</f>
        <v>0</v>
      </c>
      <c r="S479" s="134">
        <f>[2]Base!EL479</f>
        <v>0</v>
      </c>
      <c r="T479" s="135"/>
    </row>
    <row r="480" spans="2:20" ht="13.2" x14ac:dyDescent="0.25">
      <c r="B480" s="125" t="str">
        <f>[2]Base!A480</f>
        <v>BR PARTNERS</v>
      </c>
      <c r="C480" s="126" t="str">
        <f>[2]Base!C480</f>
        <v>N2</v>
      </c>
      <c r="D480" s="126" t="str">
        <f>[2]Base!EQ480</f>
        <v>Bancos</v>
      </c>
      <c r="E480" s="126" t="str">
        <f>[2]Base!M480</f>
        <v>BTG Pactual</v>
      </c>
      <c r="F480" s="126" t="str">
        <f>[2]Base!F480</f>
        <v>FOLLOW-ON</v>
      </c>
      <c r="G480" s="126" t="str">
        <f>[2]Base!G480</f>
        <v>ICVM 400</v>
      </c>
      <c r="H480" s="127">
        <f>[2]Base!X480</f>
        <v>44586</v>
      </c>
      <c r="I480" s="128">
        <f>[2]Base!W480</f>
        <v>16.5</v>
      </c>
      <c r="J480" s="129">
        <f>[2]Base!J480</f>
        <v>44588</v>
      </c>
      <c r="K480" s="130">
        <f>[2]Base!BL480</f>
        <v>258</v>
      </c>
      <c r="L480" s="130">
        <f>[2]Base!DZ480</f>
        <v>265</v>
      </c>
      <c r="M480" s="131">
        <f>[2]Base!AO480</f>
        <v>5697516</v>
      </c>
      <c r="N480" s="131">
        <f>[2]Base!AP480</f>
        <v>0</v>
      </c>
      <c r="O480" s="132">
        <f>[2]Base!AQ480</f>
        <v>5697516</v>
      </c>
      <c r="P480" s="133">
        <f>[2]Base!EF480</f>
        <v>0.82197426036188403</v>
      </c>
      <c r="Q480" s="133">
        <f>[2]Base!EH480</f>
        <v>0.14994034242290852</v>
      </c>
      <c r="R480" s="133">
        <f>[2]Base!EJ480</f>
        <v>0</v>
      </c>
      <c r="S480" s="134">
        <f>[2]Base!EL480</f>
        <v>2.8085397215207468E-2</v>
      </c>
      <c r="T480" s="135"/>
    </row>
    <row r="481" spans="2:20" ht="13.2" x14ac:dyDescent="0.25">
      <c r="B481" s="125" t="str">
        <f>[2]Base!A481</f>
        <v>ALPAGARTAS</v>
      </c>
      <c r="C481" s="126" t="str">
        <f>[2]Base!C481</f>
        <v>N1</v>
      </c>
      <c r="D481" s="126" t="str">
        <f>[2]Base!EQ481</f>
        <v>Calçados</v>
      </c>
      <c r="E481" s="126" t="str">
        <f>[2]Base!M481</f>
        <v>Itaú BBA</v>
      </c>
      <c r="F481" s="126" t="str">
        <f>[2]Base!F481</f>
        <v>FOLLOW-ON</v>
      </c>
      <c r="G481" s="126" t="str">
        <f>[2]Base!G481</f>
        <v>ICVM 476</v>
      </c>
      <c r="H481" s="127">
        <f>[2]Base!X481</f>
        <v>44614</v>
      </c>
      <c r="I481" s="128">
        <f>[2]Base!W481</f>
        <v>26.3</v>
      </c>
      <c r="J481" s="129">
        <f>[2]Base!J481</f>
        <v>44616</v>
      </c>
      <c r="K481" s="130">
        <f>[2]Base!BL481</f>
        <v>16</v>
      </c>
      <c r="L481" s="130">
        <f>[2]Base!DZ481</f>
        <v>22</v>
      </c>
      <c r="M481" s="131">
        <f>[2]Base!AO481</f>
        <v>2498500000</v>
      </c>
      <c r="N481" s="131">
        <f>[2]Base!AP481</f>
        <v>0</v>
      </c>
      <c r="O481" s="132">
        <f>[2]Base!AQ481</f>
        <v>2498500000</v>
      </c>
      <c r="P481" s="133">
        <f>[2]Base!EF481</f>
        <v>6.7936842105263161E-5</v>
      </c>
      <c r="Q481" s="133">
        <f>[2]Base!EH481</f>
        <v>0</v>
      </c>
      <c r="R481" s="133">
        <f>[2]Base!EJ481</f>
        <v>0</v>
      </c>
      <c r="S481" s="134">
        <f>[2]Base!EL481</f>
        <v>0.3946689052631579</v>
      </c>
      <c r="T481" s="135"/>
    </row>
    <row r="482" spans="2:20" ht="13.2" x14ac:dyDescent="0.25">
      <c r="B482" s="125" t="s">
        <v>27</v>
      </c>
      <c r="C482" s="126" t="str">
        <f>[2]Base!C482</f>
        <v>NM</v>
      </c>
      <c r="D482" s="126" t="str">
        <f>[2]Base!EQ482</f>
        <v>Carnes e Derivados</v>
      </c>
      <c r="E482" s="126" t="str">
        <f>[2]Base!M482</f>
        <v>Citi</v>
      </c>
      <c r="F482" s="126" t="str">
        <f>[2]Base!F482</f>
        <v>FOLLOW-ON</v>
      </c>
      <c r="G482" s="126" t="str">
        <f>[2]Base!G482</f>
        <v>ICVM 476</v>
      </c>
      <c r="H482" s="127">
        <f>[2]Base!X482</f>
        <v>44593</v>
      </c>
      <c r="I482" s="128">
        <f>[2]Base!W482</f>
        <v>20</v>
      </c>
      <c r="J482" s="129">
        <f>[2]Base!J482</f>
        <v>44595</v>
      </c>
      <c r="K482" s="130">
        <f>[2]Base!BL482</f>
        <v>0</v>
      </c>
      <c r="L482" s="130">
        <f>[2]Base!DZ482</f>
        <v>160</v>
      </c>
      <c r="M482" s="131">
        <f>[2]Base!AO482</f>
        <v>5400000000</v>
      </c>
      <c r="N482" s="131">
        <f>[2]Base!AP482</f>
        <v>0</v>
      </c>
      <c r="O482" s="132">
        <f>[2]Base!AQ482</f>
        <v>5400000000</v>
      </c>
      <c r="P482" s="133">
        <f>[2]Base!EF482</f>
        <v>1.0206333333333333E-3</v>
      </c>
      <c r="Q482" s="133">
        <f>[2]Base!EH482</f>
        <v>9.5917377777777771E-2</v>
      </c>
      <c r="R482" s="133">
        <f>[2]Base!EJ482</f>
        <v>0.28559843333333335</v>
      </c>
      <c r="S482" s="134">
        <f>[2]Base!EL482</f>
        <v>3.7037037037037038E-3</v>
      </c>
      <c r="T482" s="135"/>
    </row>
    <row r="483" spans="2:20" ht="13.2" x14ac:dyDescent="0.25">
      <c r="B483" s="125" t="str">
        <f>[2]Base!A483</f>
        <v>AREZZO CO</v>
      </c>
      <c r="C483" s="126" t="str">
        <f>[2]Base!C483</f>
        <v>NM</v>
      </c>
      <c r="D483" s="126" t="str">
        <f>[2]Base!EQ483</f>
        <v>Tecidos. Vestuário e Calçados</v>
      </c>
      <c r="E483" s="126" t="str">
        <f>[2]Base!M483</f>
        <v>Itaú BBA</v>
      </c>
      <c r="F483" s="126" t="str">
        <f>[2]Base!F483</f>
        <v>FOLLOW-ON</v>
      </c>
      <c r="G483" s="126" t="str">
        <f>[2]Base!G483</f>
        <v>ICVM 476</v>
      </c>
      <c r="H483" s="127">
        <f>[2]Base!X483</f>
        <v>44595</v>
      </c>
      <c r="I483" s="128">
        <f>[2]Base!W483</f>
        <v>82.35</v>
      </c>
      <c r="J483" s="129">
        <f>[2]Base!J483</f>
        <v>44599</v>
      </c>
      <c r="K483" s="130">
        <f>[2]Base!BL483</f>
        <v>151</v>
      </c>
      <c r="L483" s="130">
        <f>[2]Base!DZ483</f>
        <v>699</v>
      </c>
      <c r="M483" s="131">
        <f>[2]Base!AO483</f>
        <v>833793750</v>
      </c>
      <c r="N483" s="131">
        <f>[2]Base!AP483</f>
        <v>0</v>
      </c>
      <c r="O483" s="132">
        <f>[2]Base!AQ483</f>
        <v>833793750</v>
      </c>
      <c r="P483" s="133">
        <f>[2]Base!EF483</f>
        <v>1.3310617283950616E-3</v>
      </c>
      <c r="Q483" s="133">
        <f>[2]Base!EH483</f>
        <v>0.63660641975308629</v>
      </c>
      <c r="R483" s="133">
        <f>[2]Base!EJ483</f>
        <v>0.36206251851851845</v>
      </c>
      <c r="S483" s="134">
        <f>[2]Base!EL483</f>
        <v>0</v>
      </c>
      <c r="T483" s="135"/>
    </row>
    <row r="484" spans="2:20" ht="13.2" x14ac:dyDescent="0.25">
      <c r="B484" s="125" t="str">
        <f>[2]Base!A484</f>
        <v>EQUATORIAL</v>
      </c>
      <c r="C484" s="126" t="str">
        <f>[2]Base!C484</f>
        <v>NM</v>
      </c>
      <c r="D484" s="126" t="str">
        <f>[2]Base!EQ484</f>
        <v>Energia Elétrica</v>
      </c>
      <c r="E484" s="126" t="str">
        <f>[2]Base!M484</f>
        <v>Credit Suisse</v>
      </c>
      <c r="F484" s="126" t="str">
        <f>[2]Base!F484</f>
        <v>FOLLOW-ON</v>
      </c>
      <c r="G484" s="126" t="str">
        <f>[2]Base!G484</f>
        <v>ICVM 476</v>
      </c>
      <c r="H484" s="127">
        <f>[2]Base!X484</f>
        <v>44600</v>
      </c>
      <c r="I484" s="128">
        <f>[2]Base!W484</f>
        <v>23.5</v>
      </c>
      <c r="J484" s="129">
        <f>[2]Base!J484</f>
        <v>44602</v>
      </c>
      <c r="K484" s="130">
        <f>[2]Base!BL484</f>
        <v>379</v>
      </c>
      <c r="L484" s="130">
        <f>[2]Base!DZ484</f>
        <v>1119</v>
      </c>
      <c r="M484" s="131">
        <f>[2]Base!AO484</f>
        <v>2782282500</v>
      </c>
      <c r="N484" s="131">
        <f>[2]Base!AP484</f>
        <v>0</v>
      </c>
      <c r="O484" s="132">
        <f>[2]Base!AQ484</f>
        <v>2782282500</v>
      </c>
      <c r="P484" s="133">
        <f>[2]Base!EF484</f>
        <v>2.0494446556020103E-3</v>
      </c>
      <c r="Q484" s="133">
        <f>[2]Base!EH484</f>
        <v>0.51389472528400693</v>
      </c>
      <c r="R484" s="133">
        <f>[2]Base!EJ484</f>
        <v>0.42685947886312764</v>
      </c>
      <c r="S484" s="134">
        <f>[2]Base!EL484</f>
        <v>5.71963511972634E-2</v>
      </c>
      <c r="T484" s="135"/>
    </row>
    <row r="485" spans="2:20" ht="13.2" x14ac:dyDescent="0.25">
      <c r="B485" s="125" t="str">
        <f>[2]Base!A485</f>
        <v>3TENTOS</v>
      </c>
      <c r="C485" s="126" t="str">
        <f>[2]Base!C485</f>
        <v>NM</v>
      </c>
      <c r="D485" s="126" t="str">
        <f>[2]Base!EQ485</f>
        <v>Agricultura</v>
      </c>
      <c r="E485" s="126" t="str">
        <f>[2]Base!M485</f>
        <v>BTG Pactual</v>
      </c>
      <c r="F485" s="126" t="str">
        <f>[2]Base!F485</f>
        <v>FOLLOW-ON</v>
      </c>
      <c r="G485" s="126" t="str">
        <f>[2]Base!G485</f>
        <v>ICVM 400</v>
      </c>
      <c r="H485" s="127">
        <f>[2]Base!X485</f>
        <v>44592</v>
      </c>
      <c r="I485" s="128">
        <f>[2]Base!W485</f>
        <v>9.6</v>
      </c>
      <c r="J485" s="129">
        <f>[2]Base!J485</f>
        <v>44594</v>
      </c>
      <c r="K485" s="130">
        <f>[2]Base!BL485</f>
        <v>92</v>
      </c>
      <c r="L485" s="130">
        <f>[2]Base!DZ485</f>
        <v>127</v>
      </c>
      <c r="M485" s="131">
        <f>[2]Base!AO485</f>
        <v>4800000</v>
      </c>
      <c r="N485" s="131">
        <f>[2]Base!AP485</f>
        <v>0</v>
      </c>
      <c r="O485" s="132">
        <f>[2]Base!AQ485</f>
        <v>4800000</v>
      </c>
      <c r="P485" s="133">
        <f>[2]Base!EF485</f>
        <v>0.31307799999999997</v>
      </c>
      <c r="Q485" s="133">
        <f>[2]Base!EH485</f>
        <v>0.320932</v>
      </c>
      <c r="R485" s="133">
        <f>[2]Base!EJ485</f>
        <v>1.054E-3</v>
      </c>
      <c r="S485" s="134">
        <f>[2]Base!EL485</f>
        <v>0.36493599999999998</v>
      </c>
      <c r="T485" s="135"/>
    </row>
    <row r="486" spans="2:20" ht="13.2" x14ac:dyDescent="0.25">
      <c r="B486" s="125" t="str">
        <f>[2]Base!A486</f>
        <v>WDC NETWORKS</v>
      </c>
      <c r="C486" s="126" t="str">
        <f>[2]Base!C486</f>
        <v>NM</v>
      </c>
      <c r="D486" s="126" t="str">
        <f>[2]Base!EQ486</f>
        <v>Programas e Serviços</v>
      </c>
      <c r="E486" s="126" t="str">
        <f>[2]Base!M486</f>
        <v>BTG Pactual</v>
      </c>
      <c r="F486" s="126" t="str">
        <f>[2]Base!F486</f>
        <v>FOLLOW-ON</v>
      </c>
      <c r="G486" s="126" t="str">
        <f>[2]Base!G486</f>
        <v>ICVM 400</v>
      </c>
      <c r="H486" s="127">
        <f>[2]Base!X486</f>
        <v>44603</v>
      </c>
      <c r="I486" s="128">
        <f>[2]Base!W486</f>
        <v>13.75</v>
      </c>
      <c r="J486" s="129">
        <f>[2]Base!J486</f>
        <v>44606</v>
      </c>
      <c r="K486" s="130">
        <f>[2]Base!BL486</f>
        <v>109</v>
      </c>
      <c r="L486" s="130">
        <f>[2]Base!DZ486</f>
        <v>129</v>
      </c>
      <c r="M486" s="131">
        <f>[2]Base!AO486</f>
        <v>4592527.5</v>
      </c>
      <c r="N486" s="131">
        <f>[2]Base!AP486</f>
        <v>0</v>
      </c>
      <c r="O486" s="132">
        <f>[2]Base!AQ486</f>
        <v>4592527.5</v>
      </c>
      <c r="P486" s="133">
        <f>[2]Base!EF486</f>
        <v>0.36853970934305785</v>
      </c>
      <c r="Q486" s="133">
        <f>[2]Base!EH486</f>
        <v>0.54437099179046833</v>
      </c>
      <c r="R486" s="133">
        <f>[2]Base!EJ486</f>
        <v>0</v>
      </c>
      <c r="S486" s="134">
        <f>[2]Base!EL486</f>
        <v>8.7089298866473847E-2</v>
      </c>
      <c r="T486" s="135"/>
    </row>
    <row r="487" spans="2:20" ht="13.2" x14ac:dyDescent="0.25">
      <c r="B487" s="125" t="str">
        <f>[2]Base!A487</f>
        <v>ALLIED</v>
      </c>
      <c r="C487" s="126" t="str">
        <f>[2]Base!C487</f>
        <v>NM</v>
      </c>
      <c r="D487" s="126" t="str">
        <f>[2]Base!EQ487</f>
        <v>Eletrodomésticos</v>
      </c>
      <c r="E487" s="126" t="str">
        <f>[2]Base!M487</f>
        <v>BTG Pactual</v>
      </c>
      <c r="F487" s="126" t="str">
        <f>[2]Base!F487</f>
        <v>FOLLOW-ON</v>
      </c>
      <c r="G487" s="126" t="str">
        <f>[2]Base!G487</f>
        <v>ICVM 400</v>
      </c>
      <c r="H487" s="127">
        <f>[2]Base!X487</f>
        <v>44624</v>
      </c>
      <c r="I487" s="128">
        <f>[2]Base!W487</f>
        <v>14</v>
      </c>
      <c r="J487" s="129">
        <f>[2]Base!J487</f>
        <v>44648</v>
      </c>
      <c r="K487" s="130">
        <f>[2]Base!BL487</f>
        <v>47</v>
      </c>
      <c r="L487" s="130">
        <f>[2]Base!DZ487</f>
        <v>73</v>
      </c>
      <c r="M487" s="131">
        <f>[2]Base!AO487</f>
        <v>0</v>
      </c>
      <c r="N487" s="131">
        <f>[2]Base!AP487</f>
        <v>6412196</v>
      </c>
      <c r="O487" s="132">
        <f>[2]Base!AQ487</f>
        <v>6412196</v>
      </c>
      <c r="P487" s="133">
        <f>[2]Base!EF487</f>
        <v>0.16275921696716694</v>
      </c>
      <c r="Q487" s="133">
        <f>[2]Base!EH487</f>
        <v>0.83537184452876989</v>
      </c>
      <c r="R487" s="133">
        <f>[2]Base!EJ487</f>
        <v>0</v>
      </c>
      <c r="S487" s="134">
        <f>[2]Base!EL487</f>
        <v>1.8689385040631945E-3</v>
      </c>
      <c r="T487" s="135"/>
    </row>
    <row r="488" spans="2:20" ht="13.2" x14ac:dyDescent="0.25">
      <c r="B488" s="125" t="str">
        <f>[2]Base!A488</f>
        <v>FRAS-LE</v>
      </c>
      <c r="C488" s="126" t="str">
        <f>[2]Base!C488</f>
        <v>N1</v>
      </c>
      <c r="D488" s="126" t="str">
        <f>[2]Base!EQ488</f>
        <v>Material Rodoviário</v>
      </c>
      <c r="E488" s="126" t="str">
        <f>[2]Base!M488</f>
        <v>Itaú BBA</v>
      </c>
      <c r="F488" s="126" t="str">
        <f>[2]Base!F488</f>
        <v>FOLLOW-ON</v>
      </c>
      <c r="G488" s="126" t="str">
        <f>[2]Base!G488</f>
        <v>ICVM 476</v>
      </c>
      <c r="H488" s="127">
        <f>[2]Base!X488</f>
        <v>44658</v>
      </c>
      <c r="I488" s="128">
        <f>[2]Base!W488</f>
        <v>12</v>
      </c>
      <c r="J488" s="129">
        <f>[2]Base!J488</f>
        <v>44662</v>
      </c>
      <c r="K488" s="130">
        <f>[2]Base!BL488</f>
        <v>132</v>
      </c>
      <c r="L488" s="130">
        <f>[2]Base!DZ488</f>
        <v>208</v>
      </c>
      <c r="M488" s="131">
        <f>[2]Base!AO488</f>
        <v>629400000</v>
      </c>
      <c r="N488" s="131">
        <f>[2]Base!AP488</f>
        <v>0</v>
      </c>
      <c r="O488" s="132">
        <f>[2]Base!AQ488</f>
        <v>629400000</v>
      </c>
      <c r="P488" s="133">
        <f>[2]Base!EF488</f>
        <v>2.6287702573879884E-3</v>
      </c>
      <c r="Q488" s="133">
        <f>[2]Base!EH488</f>
        <v>0.18319521448999046</v>
      </c>
      <c r="R488" s="133">
        <f>[2]Base!EJ488</f>
        <v>7.0974318398474734E-2</v>
      </c>
      <c r="S488" s="134">
        <f>[2]Base!EL488</f>
        <v>0.74320169685414683</v>
      </c>
      <c r="T488" s="135"/>
    </row>
    <row r="489" spans="2:20" ht="13.2" x14ac:dyDescent="0.25">
      <c r="B489" s="125" t="str">
        <f>[2]Base!A489</f>
        <v>CBA</v>
      </c>
      <c r="C489" s="126" t="str">
        <f>[2]Base!C489</f>
        <v>NM</v>
      </c>
      <c r="D489" s="126" t="str">
        <f>[2]Base!EQ489</f>
        <v>Minerais Metálicos</v>
      </c>
      <c r="E489" s="126" t="str">
        <f>[2]Base!M489</f>
        <v>BTG Pactual</v>
      </c>
      <c r="F489" s="126" t="str">
        <f>[2]Base!F489</f>
        <v>FOLLOW-ON</v>
      </c>
      <c r="G489" s="126" t="str">
        <f>[2]Base!G489</f>
        <v>ICVM 476</v>
      </c>
      <c r="H489" s="127">
        <f>[2]Base!X489</f>
        <v>44657</v>
      </c>
      <c r="I489" s="128">
        <f>[2]Base!W489</f>
        <v>19</v>
      </c>
      <c r="J489" s="129">
        <f>[2]Base!J489</f>
        <v>44659</v>
      </c>
      <c r="K489" s="130">
        <f>[2]Base!BL489</f>
        <v>3</v>
      </c>
      <c r="L489" s="130">
        <f>[2]Base!DZ489</f>
        <v>226</v>
      </c>
      <c r="M489" s="131">
        <f>[2]Base!AO489</f>
        <v>0</v>
      </c>
      <c r="N489" s="131">
        <f>[2]Base!AP489</f>
        <v>904400000</v>
      </c>
      <c r="O489" s="132">
        <f>[2]Base!AQ489</f>
        <v>904400000</v>
      </c>
      <c r="P489" s="133">
        <f>[2]Base!EF489</f>
        <v>4.2846638655462182E-4</v>
      </c>
      <c r="Q489" s="133">
        <f>[2]Base!EH489</f>
        <v>0.58890892857142862</v>
      </c>
      <c r="R489" s="133">
        <f>[2]Base!EJ489</f>
        <v>0.41066260504201679</v>
      </c>
      <c r="S489" s="134">
        <f>[2]Base!EL489</f>
        <v>0</v>
      </c>
      <c r="T489" s="135"/>
    </row>
    <row r="490" spans="2:20" ht="13.2" x14ac:dyDescent="0.25">
      <c r="B490" s="125" t="str">
        <f>[2]Base!A490</f>
        <v>ENEVA</v>
      </c>
      <c r="C490" s="126" t="str">
        <f>[2]Base!C490</f>
        <v>NM</v>
      </c>
      <c r="D490" s="126" t="str">
        <f>[2]Base!EQ490</f>
        <v>Energia Elétrica</v>
      </c>
      <c r="E490" s="126" t="str">
        <f>[2]Base!M490</f>
        <v>Bank of America, BTG Pactual</v>
      </c>
      <c r="F490" s="126" t="str">
        <f>[2]Base!F490</f>
        <v>FOLLOW-ON</v>
      </c>
      <c r="G490" s="126" t="str">
        <f>[2]Base!G490</f>
        <v>ICVM 476</v>
      </c>
      <c r="H490" s="127">
        <f>[2]Base!X490</f>
        <v>44735</v>
      </c>
      <c r="I490" s="128">
        <f>[2]Base!W490</f>
        <v>14</v>
      </c>
      <c r="J490" s="129">
        <f>[2]Base!J490</f>
        <v>44740</v>
      </c>
      <c r="K490" s="130">
        <f>[2]Base!BL490</f>
        <v>0</v>
      </c>
      <c r="L490" s="130">
        <f>[2]Base!DZ490</f>
        <v>906</v>
      </c>
      <c r="M490" s="131">
        <f>[2]Base!AO490</f>
        <v>4200000000</v>
      </c>
      <c r="N490" s="131">
        <f>[2]Base!AP490</f>
        <v>0</v>
      </c>
      <c r="O490" s="132">
        <f>[2]Base!AQ490</f>
        <v>4200000000</v>
      </c>
      <c r="P490" s="133">
        <f>[2]Base!EF490</f>
        <v>0</v>
      </c>
      <c r="Q490" s="133">
        <f>[2]Base!EH490</f>
        <v>0.14343439999999999</v>
      </c>
      <c r="R490" s="133">
        <f>[2]Base!EJ490</f>
        <v>5.1387106666666668E-2</v>
      </c>
      <c r="S490" s="134">
        <f>[2]Base!EL490</f>
        <v>0.80517849333333336</v>
      </c>
      <c r="T490" s="135"/>
    </row>
    <row r="491" spans="2:20" ht="13.2" x14ac:dyDescent="0.25">
      <c r="B491" s="125" t="str">
        <f>[2]Base!A491</f>
        <v>ELETROBRAS</v>
      </c>
      <c r="C491" s="126" t="str">
        <f>[2]Base!C491</f>
        <v>N1</v>
      </c>
      <c r="D491" s="126" t="str">
        <f>[2]Base!EQ491</f>
        <v>Energia Elétrica</v>
      </c>
      <c r="E491" s="126" t="str">
        <f>[2]Base!M491</f>
        <v>BTG Pactual</v>
      </c>
      <c r="F491" s="126" t="str">
        <f>[2]Base!F491</f>
        <v>FOLLOW-ON</v>
      </c>
      <c r="G491" s="126" t="str">
        <f>[2]Base!G491</f>
        <v>ICVM 400</v>
      </c>
      <c r="H491" s="127">
        <f>[2]Base!X491</f>
        <v>44721</v>
      </c>
      <c r="I491" s="128">
        <f>[2]Base!W491</f>
        <v>42</v>
      </c>
      <c r="J491" s="129">
        <f>[2]Base!J491</f>
        <v>44725</v>
      </c>
      <c r="K491" s="130">
        <f>[2]Base!BL491</f>
        <v>32573</v>
      </c>
      <c r="L491" s="130">
        <f>[2]Base!DZ491</f>
        <v>34759</v>
      </c>
      <c r="M491" s="131">
        <f>[2]Base!AO491</f>
        <v>30756468456</v>
      </c>
      <c r="N491" s="131">
        <f>[2]Base!AP491</f>
        <v>2931663672</v>
      </c>
      <c r="O491" s="132">
        <f>[2]Base!AQ491</f>
        <v>33688132128</v>
      </c>
      <c r="P491" s="133">
        <f>[2]Base!EF491</f>
        <v>9.425949173836011E-2</v>
      </c>
      <c r="Q491" s="133">
        <f>[2]Base!EH491</f>
        <v>0.5553667690720594</v>
      </c>
      <c r="R491" s="133">
        <f>[2]Base!EJ491</f>
        <v>0.32510708436983959</v>
      </c>
      <c r="S491" s="134">
        <f>[2]Base!EL491</f>
        <v>1.3069771999440906E-2</v>
      </c>
      <c r="T491" s="135"/>
    </row>
    <row r="492" spans="2:20" ht="13.2" x14ac:dyDescent="0.25">
      <c r="B492" s="136" t="str">
        <f>[2]Base!A492</f>
        <v>PETRORECSA</v>
      </c>
      <c r="C492" s="137" t="str">
        <f>[2]Base!C492</f>
        <v>NM</v>
      </c>
      <c r="D492" s="137" t="str">
        <f>[2]Base!EQ492</f>
        <v>Exploração. Refino e Distribuição</v>
      </c>
      <c r="E492" s="137" t="str">
        <f>[2]Base!M492</f>
        <v>Itaú BBA</v>
      </c>
      <c r="F492" s="137" t="str">
        <f>[2]Base!F492</f>
        <v>FOLLOW-ON</v>
      </c>
      <c r="G492" s="137" t="str">
        <f>[2]Base!G492</f>
        <v>ICVM 476</v>
      </c>
      <c r="H492" s="138">
        <f>[2]Base!X492</f>
        <v>44726</v>
      </c>
      <c r="I492" s="139">
        <f>[2]Base!W492</f>
        <v>23.5</v>
      </c>
      <c r="J492" s="140">
        <f>[2]Base!J492</f>
        <v>44729</v>
      </c>
      <c r="K492" s="141">
        <f>[2]Base!BL492</f>
        <v>101</v>
      </c>
      <c r="L492" s="141">
        <f>[2]Base!DZ492</f>
        <v>506</v>
      </c>
      <c r="M492" s="142">
        <f>[2]Base!AO492</f>
        <v>1034000000</v>
      </c>
      <c r="N492" s="142">
        <f>[2]Base!AP492</f>
        <v>0</v>
      </c>
      <c r="O492" s="143">
        <f>[2]Base!AQ492</f>
        <v>1034000000</v>
      </c>
      <c r="P492" s="144">
        <f>[2]Base!EF492</f>
        <v>2.3772727272727274E-3</v>
      </c>
      <c r="Q492" s="144">
        <f>[2]Base!EH492</f>
        <v>0.83216015909090912</v>
      </c>
      <c r="R492" s="144">
        <f>[2]Base!EJ492</f>
        <v>7.6363636363636364E-6</v>
      </c>
      <c r="S492" s="145">
        <f>[2]Base!EL492</f>
        <v>0</v>
      </c>
      <c r="T492" s="135"/>
    </row>
    <row r="493" spans="2:20" ht="13.8" thickBot="1" x14ac:dyDescent="0.3">
      <c r="B493" s="146" t="str">
        <f>[2]Base!A493</f>
        <v>CVC BRASIL</v>
      </c>
      <c r="C493" s="147" t="str">
        <f>[2]Base!C493</f>
        <v>NM</v>
      </c>
      <c r="D493" s="147" t="str">
        <f>[2]Base!EQ493</f>
        <v>Viagens e Turismo</v>
      </c>
      <c r="E493" s="147" t="str">
        <f>[2]Base!M493</f>
        <v>Citi</v>
      </c>
      <c r="F493" s="147" t="str">
        <f>[2]Base!F493</f>
        <v>FOLLOW-ON</v>
      </c>
      <c r="G493" s="147" t="str">
        <f>[2]Base!G493</f>
        <v>ICVM 476</v>
      </c>
      <c r="H493" s="148">
        <f>[2]Base!X493</f>
        <v>44735</v>
      </c>
      <c r="I493" s="149">
        <f>[2]Base!W493</f>
        <v>7.7</v>
      </c>
      <c r="J493" s="150">
        <f>[2]Base!J493</f>
        <v>44739</v>
      </c>
      <c r="K493" s="151">
        <f>[2]Base!BL493</f>
        <v>800</v>
      </c>
      <c r="L493" s="151">
        <f>[2]Base!DZ493</f>
        <v>1046</v>
      </c>
      <c r="M493" s="152">
        <f>[2]Base!AO493</f>
        <v>402806250</v>
      </c>
      <c r="N493" s="152">
        <f>[2]Base!AP493</f>
        <v>0</v>
      </c>
      <c r="O493" s="153">
        <f>[2]Base!AQ493</f>
        <v>402806250</v>
      </c>
      <c r="P493" s="154">
        <f>[2]Base!EF493</f>
        <v>9.4403632019115901E-3</v>
      </c>
      <c r="Q493" s="154">
        <f>[2]Base!EH493</f>
        <v>0.47047118757467149</v>
      </c>
      <c r="R493" s="154">
        <f>[2]Base!EJ493</f>
        <v>0.51550623655913974</v>
      </c>
      <c r="S493" s="155">
        <f>[2]Base!EL493</f>
        <v>4.5822126642771806E-3</v>
      </c>
      <c r="T493" s="135"/>
    </row>
    <row r="494" spans="2:20" thickTop="1" thickBot="1" x14ac:dyDescent="0.3">
      <c r="B494" s="146" t="str">
        <f>[2]Base!A494</f>
        <v>IRBBRASIL RE</v>
      </c>
      <c r="C494" s="147" t="str">
        <f>[2]Base!C494</f>
        <v>NM</v>
      </c>
      <c r="D494" s="147" t="str">
        <f>[2]Base!EQ494</f>
        <v>Resseguradoras</v>
      </c>
      <c r="E494" s="147" t="str">
        <f>[2]Base!M494</f>
        <v>Bradesco BBI</v>
      </c>
      <c r="F494" s="147" t="str">
        <f>[2]Base!F494</f>
        <v>FOLLOW-ON</v>
      </c>
      <c r="G494" s="147" t="str">
        <f>[2]Base!G494</f>
        <v>ICVM 476</v>
      </c>
      <c r="H494" s="148">
        <f>[2]Base!X494</f>
        <v>44805</v>
      </c>
      <c r="I494" s="149">
        <f>[2]Base!W494</f>
        <v>1</v>
      </c>
      <c r="J494" s="150">
        <f>[2]Base!J494</f>
        <v>44809</v>
      </c>
      <c r="K494" s="151">
        <f>[2]Base!BL494</f>
        <v>9476</v>
      </c>
      <c r="L494" s="151">
        <f>[2]Base!DZ494</f>
        <v>10650</v>
      </c>
      <c r="M494" s="152">
        <f>[2]Base!AO494</f>
        <v>1200000000</v>
      </c>
      <c r="N494" s="152">
        <f>[2]Base!AP494</f>
        <v>0</v>
      </c>
      <c r="O494" s="153">
        <f>[2]Base!AQ494</f>
        <v>1200000000</v>
      </c>
      <c r="P494" s="154">
        <f>[2]Base!EF494</f>
        <v>5.8085305833333337E-2</v>
      </c>
      <c r="Q494" s="154">
        <f>[2]Base!EH494</f>
        <v>0.57171718666666671</v>
      </c>
      <c r="R494" s="154">
        <f>[2]Base!EJ494</f>
        <v>0.1489560375</v>
      </c>
      <c r="S494" s="155">
        <f>[2]Base!EL494</f>
        <v>0.22124147</v>
      </c>
      <c r="T494" s="135"/>
    </row>
    <row r="495" spans="2:20" thickTop="1" thickBot="1" x14ac:dyDescent="0.3">
      <c r="B495" s="146" t="str">
        <f>[2]Base!A495</f>
        <v>VAMOS</v>
      </c>
      <c r="C495" s="147" t="str">
        <f>[2]Base!C495</f>
        <v>NM</v>
      </c>
      <c r="D495" s="147" t="str">
        <f>[2]Base!EQ495</f>
        <v>Aluguel de carros</v>
      </c>
      <c r="E495" s="147" t="str">
        <f>[2]Base!M495</f>
        <v>BTG Pactual</v>
      </c>
      <c r="F495" s="147" t="str">
        <f>[2]Base!F495</f>
        <v>FOLLOW-ON</v>
      </c>
      <c r="G495" s="147" t="str">
        <f>[2]Base!G495</f>
        <v>ICVM 476</v>
      </c>
      <c r="H495" s="148">
        <f>[2]Base!X495</f>
        <v>44825</v>
      </c>
      <c r="I495" s="149">
        <f>[2]Base!W495</f>
        <v>13.25</v>
      </c>
      <c r="J495" s="150">
        <f>[2]Base!J495</f>
        <v>44827</v>
      </c>
      <c r="K495" s="151">
        <f>[2]Base!BL495</f>
        <v>191</v>
      </c>
      <c r="L495" s="151">
        <f>[2]Base!DZ495</f>
        <v>272</v>
      </c>
      <c r="M495" s="152">
        <f>[2]Base!AO495</f>
        <v>641432500</v>
      </c>
      <c r="N495" s="152">
        <f>[2]Base!AP495</f>
        <v>0</v>
      </c>
      <c r="O495" s="153">
        <f>[2]Base!AQ495</f>
        <v>641432500</v>
      </c>
      <c r="P495" s="154">
        <f>[2]Base!EF495</f>
        <v>5.0047510844866759E-4</v>
      </c>
      <c r="Q495" s="154">
        <f>[2]Base!EH495</f>
        <v>0.41163123321627765</v>
      </c>
      <c r="R495" s="154">
        <f>[2]Base!EJ495</f>
        <v>0.58673538525098123</v>
      </c>
      <c r="S495" s="155">
        <f>[2]Base!EL495</f>
        <v>1.1329064242925015E-3</v>
      </c>
      <c r="T495" s="135"/>
    </row>
    <row r="496" spans="2:20" thickTop="1" thickBot="1" x14ac:dyDescent="0.3">
      <c r="B496" s="146" t="str">
        <f>[2]Base!A496</f>
        <v>IGUATEMI S.A.</v>
      </c>
      <c r="C496" s="147" t="str">
        <f>[2]Base!C496</f>
        <v>NM</v>
      </c>
      <c r="D496" s="147" t="str">
        <f>[2]Base!EQ496</f>
        <v>Exploração de Imóveis</v>
      </c>
      <c r="E496" s="147" t="str">
        <f>[2]Base!M496</f>
        <v>BTG Pactual</v>
      </c>
      <c r="F496" s="147" t="str">
        <f>[2]Base!F496</f>
        <v>FOLLOW-ON</v>
      </c>
      <c r="G496" s="147" t="str">
        <f>[2]Base!G496</f>
        <v>ICVM 476</v>
      </c>
      <c r="H496" s="148">
        <f>[2]Base!X496</f>
        <v>44824</v>
      </c>
      <c r="I496" s="149">
        <f>[2]Base!W496</f>
        <v>19.739999999999998</v>
      </c>
      <c r="J496" s="150">
        <f>[2]Base!J496</f>
        <v>44826</v>
      </c>
      <c r="K496" s="151">
        <f>[2]Base!BL496</f>
        <v>0</v>
      </c>
      <c r="L496" s="151">
        <f>[2]Base!DZ496</f>
        <v>1617</v>
      </c>
      <c r="M496" s="152">
        <f>[2]Base!AO496</f>
        <v>720036240</v>
      </c>
      <c r="N496" s="152">
        <f>[2]Base!AP496</f>
        <v>0</v>
      </c>
      <c r="O496" s="153">
        <f>[2]Base!AQ496</f>
        <v>720036240</v>
      </c>
      <c r="P496" s="154">
        <f>[2]Base!EF496</f>
        <v>0</v>
      </c>
      <c r="Q496" s="154">
        <f>[2]Base!EH496</f>
        <v>8.7394231823664875E-2</v>
      </c>
      <c r="R496" s="154">
        <f>[2]Base!EJ496</f>
        <v>0</v>
      </c>
      <c r="S496" s="155">
        <f>[2]Base!EL496</f>
        <v>0.46944980260993524</v>
      </c>
      <c r="T496" s="135"/>
    </row>
    <row r="497" spans="2:20" thickTop="1" thickBot="1" x14ac:dyDescent="0.3">
      <c r="B497" s="146" t="str">
        <f>[2]Base!A497</f>
        <v>ASSAI</v>
      </c>
      <c r="C497" s="147" t="str">
        <f>[2]Base!C497</f>
        <v>NM</v>
      </c>
      <c r="D497" s="147" t="str">
        <f>[2]Base!EQ497</f>
        <v>Alimentos</v>
      </c>
      <c r="E497" s="147" t="str">
        <f>[2]Base!M497</f>
        <v>Itaú BBA</v>
      </c>
      <c r="F497" s="147" t="str">
        <f>[2]Base!F497</f>
        <v>FOLLOW-ON</v>
      </c>
      <c r="G497" s="147" t="str">
        <f>[2]Base!G497</f>
        <v>ICVM 476</v>
      </c>
      <c r="H497" s="148">
        <f>[2]Base!X497</f>
        <v>44894</v>
      </c>
      <c r="I497" s="149">
        <f>[2]Base!W497</f>
        <v>19</v>
      </c>
      <c r="J497" s="150">
        <f>[2]Base!J497</f>
        <v>44896</v>
      </c>
      <c r="K497" s="151">
        <f>[2]Base!BL497</f>
        <v>0</v>
      </c>
      <c r="L497" s="151">
        <f>[2]Base!DZ497</f>
        <v>441</v>
      </c>
      <c r="M497" s="152">
        <f>[2]Base!AO497</f>
        <v>0</v>
      </c>
      <c r="N497" s="152">
        <f>[2]Base!AP497</f>
        <v>2675200000</v>
      </c>
      <c r="O497" s="153">
        <f>[2]Base!AQ497</f>
        <v>2675200000</v>
      </c>
      <c r="P497" s="154">
        <f>[2]Base!EF497</f>
        <v>1.6137073863636364E-4</v>
      </c>
      <c r="Q497" s="154">
        <f>[2]Base!EH497</f>
        <v>0.50204392755681815</v>
      </c>
      <c r="R497" s="154">
        <f>[2]Base!EJ497</f>
        <v>0.48359015625000001</v>
      </c>
      <c r="S497" s="155">
        <f>[2]Base!EL497</f>
        <v>0</v>
      </c>
      <c r="T497" s="135"/>
    </row>
    <row r="498" spans="2:20" ht="16.8" thickTop="1" thickBot="1" x14ac:dyDescent="0.3">
      <c r="B498" s="146" t="s">
        <v>28</v>
      </c>
      <c r="C498" s="147" t="str">
        <f>[2]Base!C498</f>
        <v>BDR Patrocinado Nível 3</v>
      </c>
      <c r="D498" s="147" t="str">
        <f>[2]Base!EQ498</f>
        <v>Gestão de Recursos e Investimentos</v>
      </c>
      <c r="E498" s="147" t="str">
        <f>[2]Base!M498</f>
        <v>BTG Pactual</v>
      </c>
      <c r="F498" s="147" t="str">
        <f>[2]Base!F498</f>
        <v>FOLLOW-ON</v>
      </c>
      <c r="G498" s="147" t="str">
        <f>[2]Base!G498</f>
        <v>ICVM 476</v>
      </c>
      <c r="H498" s="148">
        <f>[2]Base!X498</f>
        <v>44910</v>
      </c>
      <c r="I498" s="149">
        <f>[2]Base!W498</f>
        <v>7.16</v>
      </c>
      <c r="J498" s="150">
        <f>[2]Base!J498</f>
        <v>44916</v>
      </c>
      <c r="K498" s="151">
        <f>[2]Base!BL498</f>
        <v>0</v>
      </c>
      <c r="L498" s="151">
        <f>[2]Base!DZ498</f>
        <v>0</v>
      </c>
      <c r="M498" s="152">
        <f>[2]Base!AO498</f>
        <v>70000004.920000002</v>
      </c>
      <c r="N498" s="152">
        <f>[2]Base!AP498</f>
        <v>0</v>
      </c>
      <c r="O498" s="153">
        <f>[2]Base!AQ498</f>
        <v>70000004.920000002</v>
      </c>
      <c r="P498" s="154">
        <f>[2]Base!EF498</f>
        <v>0</v>
      </c>
      <c r="Q498" s="154">
        <f>[2]Base!EH498</f>
        <v>0</v>
      </c>
      <c r="R498" s="154">
        <f>[2]Base!EJ498</f>
        <v>0</v>
      </c>
      <c r="S498" s="155">
        <f>[2]Base!EL498</f>
        <v>0</v>
      </c>
      <c r="T498" s="135"/>
    </row>
    <row r="499" spans="2:20" thickTop="1" thickBot="1" x14ac:dyDescent="0.3">
      <c r="B499" s="146" t="str">
        <f>[2]Base!A499</f>
        <v>ASSAI</v>
      </c>
      <c r="C499" s="147" t="str">
        <f>[2]Base!C499</f>
        <v>NM</v>
      </c>
      <c r="D499" s="147" t="str">
        <f>[2]Base!EQ499</f>
        <v>Alimentos</v>
      </c>
      <c r="E499" s="147" t="str">
        <f>[2]Base!M499</f>
        <v>BTG Pactual</v>
      </c>
      <c r="F499" s="147" t="str">
        <f>[2]Base!F499</f>
        <v>FOLLOW-ON</v>
      </c>
      <c r="G499" s="147" t="s">
        <v>29</v>
      </c>
      <c r="H499" s="148">
        <f>[2]Base!X499</f>
        <v>45001</v>
      </c>
      <c r="I499" s="149">
        <f>[2]Base!W499</f>
        <v>16</v>
      </c>
      <c r="J499" s="150">
        <f>[2]Base!J499</f>
        <v>45005</v>
      </c>
      <c r="K499" s="151">
        <f>[2]Base!BL499</f>
        <v>0</v>
      </c>
      <c r="L499" s="151">
        <f>[2]Base!DZ499</f>
        <v>489</v>
      </c>
      <c r="M499" s="152">
        <f>[2]Base!AO499</f>
        <v>0</v>
      </c>
      <c r="N499" s="152">
        <f>[2]Base!AP499</f>
        <v>4064000000</v>
      </c>
      <c r="O499" s="153">
        <f>[2]Base!AQ499</f>
        <v>4064000000</v>
      </c>
      <c r="P499" s="154">
        <f>[2]Base!EF499</f>
        <v>5.1618897637795277E-4</v>
      </c>
      <c r="Q499" s="154">
        <f>[2]Base!EH499</f>
        <v>0.45671154724409446</v>
      </c>
      <c r="R499" s="154">
        <f>[2]Base!EJ499</f>
        <v>0.49669043307086613</v>
      </c>
      <c r="S499" s="155">
        <f>[2]Base!EL499</f>
        <v>0</v>
      </c>
      <c r="T499" s="135"/>
    </row>
    <row r="500" spans="2:20" thickTop="1" thickBot="1" x14ac:dyDescent="0.3">
      <c r="B500" s="146" t="str">
        <f>[2]Base!A500</f>
        <v>HAPVIDA</v>
      </c>
      <c r="C500" s="147" t="str">
        <f>[2]Base!C500</f>
        <v>NM</v>
      </c>
      <c r="D500" s="147" t="str">
        <f>[2]Base!EQ500</f>
        <v>Serv.Méd.Hospit..Análises e Diagnósticos</v>
      </c>
      <c r="E500" s="147" t="str">
        <f>[2]Base!M500</f>
        <v>Bank of America</v>
      </c>
      <c r="F500" s="147" t="str">
        <f>[2]Base!F500</f>
        <v>FOLLOW-ON</v>
      </c>
      <c r="G500" s="147" t="s">
        <v>29</v>
      </c>
      <c r="H500" s="148">
        <f>[2]Base!X500</f>
        <v>45028</v>
      </c>
      <c r="I500" s="149">
        <f>[2]Base!W500</f>
        <v>2.68</v>
      </c>
      <c r="J500" s="150">
        <f>[2]Base!J500</f>
        <v>45030</v>
      </c>
      <c r="K500" s="151">
        <f>[2]Base!BL500</f>
        <v>116</v>
      </c>
      <c r="L500" s="151">
        <f>[2]Base!DZ500</f>
        <v>823</v>
      </c>
      <c r="M500" s="152">
        <f>[2]Base!AO500</f>
        <v>1059156153.6</v>
      </c>
      <c r="N500" s="152">
        <f>[2]Base!AP500</f>
        <v>0</v>
      </c>
      <c r="O500" s="153">
        <f>[2]Base!AQ500</f>
        <v>1059156153.6</v>
      </c>
      <c r="P500" s="154">
        <f>[2]Base!EF500</f>
        <v>0.34101653480682759</v>
      </c>
      <c r="Q500" s="154">
        <f>[2]Base!EH500</f>
        <v>0.22346492799529727</v>
      </c>
      <c r="R500" s="154">
        <f>[2]Base!EJ500</f>
        <v>0.43540081929615104</v>
      </c>
      <c r="S500" s="155">
        <f>[2]Base!EL500</f>
        <v>9.2414739476617242E-5</v>
      </c>
      <c r="T500" s="135"/>
    </row>
    <row r="501" spans="2:20" thickTop="1" thickBot="1" x14ac:dyDescent="0.3">
      <c r="B501" s="146" t="str">
        <f>[2]Base!A501</f>
        <v>DASA</v>
      </c>
      <c r="C501" s="147" t="str">
        <f>[2]Base!C501</f>
        <v>NM</v>
      </c>
      <c r="D501" s="147" t="str">
        <f>[2]Base!EQ501</f>
        <v>Serv.Méd.Hospit..Análises e Diagnósticos</v>
      </c>
      <c r="E501" s="147" t="str">
        <f>[2]Base!M501</f>
        <v>Bradesco BBI</v>
      </c>
      <c r="F501" s="147" t="str">
        <f>[2]Base!F501</f>
        <v>FOLLOW-ON</v>
      </c>
      <c r="G501" s="147" t="s">
        <v>29</v>
      </c>
      <c r="H501" s="148">
        <f>[2]Base!X501</f>
        <v>45034</v>
      </c>
      <c r="I501" s="149">
        <f>[2]Base!W501</f>
        <v>8.5</v>
      </c>
      <c r="J501" s="150">
        <f>[2]Base!J501</f>
        <v>45036</v>
      </c>
      <c r="K501" s="151">
        <f>[2]Base!BL501</f>
        <v>26</v>
      </c>
      <c r="L501" s="151">
        <f>[2]Base!DZ501</f>
        <v>81</v>
      </c>
      <c r="M501" s="152">
        <f>[2]Base!AO501</f>
        <v>1673290229</v>
      </c>
      <c r="N501" s="152">
        <f>[2]Base!AP501</f>
        <v>0</v>
      </c>
      <c r="O501" s="153">
        <f>[2]Base!AQ501</f>
        <v>1673290229</v>
      </c>
      <c r="P501" s="154">
        <f>[2]Base!EF501</f>
        <v>4.5724404932265939E-4</v>
      </c>
      <c r="Q501" s="154">
        <f>[2]Base!EH501</f>
        <v>9.2077843000420694E-3</v>
      </c>
      <c r="R501" s="154">
        <f>[2]Base!EJ501</f>
        <v>2.5077274864072609E-2</v>
      </c>
      <c r="S501" s="155">
        <f>[2]Base!EL501</f>
        <v>0.9652576967865627</v>
      </c>
      <c r="T501" s="135"/>
    </row>
    <row r="502" spans="2:20" thickTop="1" thickBot="1" x14ac:dyDescent="0.3">
      <c r="B502" s="146" t="str">
        <f>[2]Base!A502</f>
        <v>ORIZON</v>
      </c>
      <c r="C502" s="147" t="str">
        <f>[2]Base!C502</f>
        <v>NM</v>
      </c>
      <c r="D502" s="147" t="str">
        <f>[2]Base!EQ502</f>
        <v>Água e Saneamento</v>
      </c>
      <c r="E502" s="147" t="str">
        <f>[2]Base!M502</f>
        <v>BTG Pactual</v>
      </c>
      <c r="F502" s="147" t="str">
        <f>[2]Base!F502</f>
        <v>FOLLOW-ON</v>
      </c>
      <c r="G502" s="147" t="s">
        <v>29</v>
      </c>
      <c r="H502" s="148">
        <f>[2]Base!X502</f>
        <v>45043</v>
      </c>
      <c r="I502" s="149">
        <f>[2]Base!W502</f>
        <v>34</v>
      </c>
      <c r="J502" s="150">
        <f>[2]Base!J502</f>
        <v>45048</v>
      </c>
      <c r="K502" s="151">
        <f>[2]Base!BL502</f>
        <v>18</v>
      </c>
      <c r="L502" s="151">
        <f>[2]Base!DZ502</f>
        <v>230</v>
      </c>
      <c r="M502" s="152">
        <f>[2]Base!AO502</f>
        <v>91120000</v>
      </c>
      <c r="N502" s="152">
        <f>[2]Base!AP502</f>
        <v>278181846</v>
      </c>
      <c r="O502" s="153">
        <f>[2]Base!AQ502</f>
        <v>369301846</v>
      </c>
      <c r="P502" s="154">
        <f>[2]Base!EF502</f>
        <v>2.8294524149223995E-3</v>
      </c>
      <c r="Q502" s="154">
        <f>[2]Base!EH502</f>
        <v>0.53802120989127145</v>
      </c>
      <c r="R502" s="154">
        <f>[2]Base!EJ502</f>
        <v>0.34267409537942034</v>
      </c>
      <c r="S502" s="155">
        <f>[2]Base!EL502</f>
        <v>0.11647524231438583</v>
      </c>
      <c r="T502" s="135"/>
    </row>
    <row r="503" spans="2:20" thickTop="1" thickBot="1" x14ac:dyDescent="0.3">
      <c r="B503" s="146" t="str">
        <f>[2]Base!A503</f>
        <v>SMART FIT</v>
      </c>
      <c r="C503" s="147" t="str">
        <f>[2]Base!C503</f>
        <v>NM</v>
      </c>
      <c r="D503" s="147" t="str">
        <f>[2]Base!EQ503</f>
        <v>Atividades Esportivas</v>
      </c>
      <c r="E503" s="147" t="str">
        <f>[2]Base!M503</f>
        <v>Itaú BBA</v>
      </c>
      <c r="F503" s="147" t="str">
        <f>[2]Base!F503</f>
        <v>FOLLOW-ON</v>
      </c>
      <c r="G503" s="147" t="s">
        <v>29</v>
      </c>
      <c r="H503" s="148">
        <f>[2]Base!X503</f>
        <v>45075</v>
      </c>
      <c r="I503" s="149">
        <f>[2]Base!W503</f>
        <v>18.149999999999999</v>
      </c>
      <c r="J503" s="150">
        <f>[2]Base!J503</f>
        <v>45077</v>
      </c>
      <c r="K503" s="151">
        <f>[2]Base!BL503</f>
        <v>0</v>
      </c>
      <c r="L503" s="151">
        <f>[2]Base!DZ503</f>
        <v>277</v>
      </c>
      <c r="M503" s="152">
        <f>[2]Base!AO503</f>
        <v>0</v>
      </c>
      <c r="N503" s="152">
        <f>[2]Base!AP503</f>
        <v>591730873.79999995</v>
      </c>
      <c r="O503" s="153">
        <f>[2]Base!AQ503</f>
        <v>591730873.79999995</v>
      </c>
      <c r="P503" s="154">
        <f>[2]Base!EF503</f>
        <v>8.2791826773193468E-4</v>
      </c>
      <c r="Q503" s="154">
        <f>[2]Base!EH503</f>
        <v>0.87805121560314303</v>
      </c>
      <c r="R503" s="154">
        <f>[2]Base!EJ503</f>
        <v>0.12112086612912505</v>
      </c>
      <c r="S503" s="155">
        <f>[2]Base!EL503</f>
        <v>0</v>
      </c>
      <c r="T503" s="135"/>
    </row>
    <row r="504" spans="2:20" thickTop="1" thickBot="1" x14ac:dyDescent="0.3">
      <c r="B504" s="146" t="str">
        <f>[2]Base!A504</f>
        <v>ONCOCLINICAS</v>
      </c>
      <c r="C504" s="147" t="str">
        <f>[2]Base!C504</f>
        <v>NM</v>
      </c>
      <c r="D504" s="147" t="str">
        <f>[2]Base!EQ504</f>
        <v>Serv.Méd.Hospit..Análises e Diagnósticos</v>
      </c>
      <c r="E504" s="147" t="str">
        <f>[2]Base!M504</f>
        <v>Goldman Sachs</v>
      </c>
      <c r="F504" s="147" t="str">
        <f>[2]Base!F504</f>
        <v>FOLLOW-ON</v>
      </c>
      <c r="G504" s="147" t="s">
        <v>29</v>
      </c>
      <c r="H504" s="148">
        <f>[2]Base!X504</f>
        <v>45097</v>
      </c>
      <c r="I504" s="149">
        <f>[2]Base!W504</f>
        <v>10.25</v>
      </c>
      <c r="J504" s="150">
        <f>[2]Base!J504</f>
        <v>45099</v>
      </c>
      <c r="K504" s="151">
        <f>[2]Base!BL504</f>
        <v>83</v>
      </c>
      <c r="L504" s="151">
        <f>[2]Base!DZ504</f>
        <v>290</v>
      </c>
      <c r="M504" s="152">
        <f>[2]Base!AO504</f>
        <v>205000000</v>
      </c>
      <c r="N504" s="152">
        <f>[2]Base!AP504</f>
        <v>691875000</v>
      </c>
      <c r="O504" s="153">
        <f>[2]Base!AQ504</f>
        <v>896875000</v>
      </c>
      <c r="P504" s="154">
        <f>[2]Base!EF504</f>
        <v>1.2096937142857143E-2</v>
      </c>
      <c r="Q504" s="154">
        <f>[2]Base!EH504</f>
        <v>0.31990948571428574</v>
      </c>
      <c r="R504" s="154">
        <f>[2]Base!EJ504</f>
        <v>0.65050881142857142</v>
      </c>
      <c r="S504" s="155">
        <f>[2]Base!EL504</f>
        <v>1.7484765714285713E-2</v>
      </c>
      <c r="T504" s="135"/>
    </row>
    <row r="505" spans="2:20" thickTop="1" thickBot="1" x14ac:dyDescent="0.3">
      <c r="B505" s="146" t="str">
        <f>[2]Base!A505</f>
        <v>CVC BRASIL</v>
      </c>
      <c r="C505" s="147" t="str">
        <f>[2]Base!C505</f>
        <v>NM</v>
      </c>
      <c r="D505" s="147" t="str">
        <f>[2]Base!EQ505</f>
        <v>Viagens e Turismo</v>
      </c>
      <c r="E505" s="147" t="str">
        <f>[2]Base!M505</f>
        <v>Citi</v>
      </c>
      <c r="F505" s="147" t="str">
        <f>[2]Base!F505</f>
        <v>FOLLOW-ON</v>
      </c>
      <c r="G505" s="147" t="s">
        <v>29</v>
      </c>
      <c r="H505" s="148">
        <f>[2]Base!X505</f>
        <v>45099</v>
      </c>
      <c r="I505" s="149">
        <f>[2]Base!W505</f>
        <v>3.3</v>
      </c>
      <c r="J505" s="150">
        <f>[2]Base!J505</f>
        <v>45103</v>
      </c>
      <c r="K505" s="151">
        <f>[2]Base!BL505</f>
        <v>705</v>
      </c>
      <c r="L505" s="151">
        <f>[2]Base!DZ505</f>
        <v>872</v>
      </c>
      <c r="M505" s="152">
        <f>[2]Base!AO505</f>
        <v>549999997.79999995</v>
      </c>
      <c r="N505" s="152">
        <f>[2]Base!AP505</f>
        <v>0</v>
      </c>
      <c r="O505" s="153">
        <f>[2]Base!AQ505</f>
        <v>549999997.79999995</v>
      </c>
      <c r="P505" s="154">
        <f>[2]Base!EF505</f>
        <v>1.7836404071345617E-2</v>
      </c>
      <c r="Q505" s="154">
        <f>[2]Base!EH505</f>
        <v>0.74633372698533496</v>
      </c>
      <c r="R505" s="154">
        <f>[2]Base!EJ505</f>
        <v>0.23578803694315217</v>
      </c>
      <c r="S505" s="155">
        <f>[2]Base!EL505</f>
        <v>4.1832000167328E-5</v>
      </c>
      <c r="T505" s="135"/>
    </row>
    <row r="506" spans="2:20" thickTop="1" thickBot="1" x14ac:dyDescent="0.3">
      <c r="B506" s="146" t="str">
        <f>[2]Base!A506</f>
        <v>LOCALIZA</v>
      </c>
      <c r="C506" s="147" t="str">
        <f>[2]Base!C506</f>
        <v>NM</v>
      </c>
      <c r="D506" s="147" t="str">
        <f>[2]Base!EQ506</f>
        <v>Aluguel de carros</v>
      </c>
      <c r="E506" s="147" t="str">
        <f>[2]Base!M506</f>
        <v>Itaú BBA</v>
      </c>
      <c r="F506" s="147" t="str">
        <f>[2]Base!F506</f>
        <v>FOLLOW-ON</v>
      </c>
      <c r="G506" s="147" t="s">
        <v>29</v>
      </c>
      <c r="H506" s="148">
        <f>[2]Base!X506</f>
        <v>45103</v>
      </c>
      <c r="I506" s="149">
        <f>[2]Base!W506</f>
        <v>66.64</v>
      </c>
      <c r="J506" s="150">
        <f>[2]Base!J506</f>
        <v>45105</v>
      </c>
      <c r="K506" s="151">
        <f>[2]Base!BL506</f>
        <v>329</v>
      </c>
      <c r="L506" s="151">
        <f>[2]Base!DZ506</f>
        <v>1138</v>
      </c>
      <c r="M506" s="152">
        <f>[2]Base!AO506</f>
        <v>4500000079.6800003</v>
      </c>
      <c r="N506" s="152">
        <f>[2]Base!AP506</f>
        <v>0</v>
      </c>
      <c r="O506" s="153">
        <f>[2]Base!AQ506</f>
        <v>4500000079.6800003</v>
      </c>
      <c r="P506" s="154">
        <f>[2]Base!EF506</f>
        <v>2.1279484423211261E-3</v>
      </c>
      <c r="Q506" s="154">
        <f>[2]Base!EH506</f>
        <v>0.41592212017318342</v>
      </c>
      <c r="R506" s="154">
        <f>[2]Base!EJ506</f>
        <v>0.57999444725912053</v>
      </c>
      <c r="S506" s="155">
        <f>[2]Base!EL506</f>
        <v>1.955484125374894E-3</v>
      </c>
      <c r="T506" s="135"/>
    </row>
    <row r="507" spans="2:20" thickTop="1" thickBot="1" x14ac:dyDescent="0.3">
      <c r="B507" s="146" t="str">
        <f>[2]Base!A507</f>
        <v>VAMOS</v>
      </c>
      <c r="C507" s="147" t="str">
        <f>[2]Base!C507</f>
        <v>NM</v>
      </c>
      <c r="D507" s="147" t="str">
        <f>[2]Base!EQ507</f>
        <v>Aluguel de carros</v>
      </c>
      <c r="E507" s="147" t="str">
        <f>[2]Base!M507</f>
        <v>BTG Pactual</v>
      </c>
      <c r="F507" s="147" t="str">
        <f>[2]Base!F507</f>
        <v>FOLLOW-ON</v>
      </c>
      <c r="G507" s="147" t="s">
        <v>29</v>
      </c>
      <c r="H507" s="148">
        <f>[2]Base!X507</f>
        <v>45106</v>
      </c>
      <c r="I507" s="149">
        <f>[2]Base!W507</f>
        <v>11</v>
      </c>
      <c r="J507" s="150">
        <f>[2]Base!J507</f>
        <v>45107</v>
      </c>
      <c r="K507" s="151">
        <f>[2]Base!BL507</f>
        <v>828</v>
      </c>
      <c r="L507" s="151">
        <f>[2]Base!DZ507</f>
        <v>1262</v>
      </c>
      <c r="M507" s="152">
        <f>[2]Base!AO507</f>
        <v>868192589</v>
      </c>
      <c r="N507" s="152">
        <f>[2]Base!AP507</f>
        <v>434096289</v>
      </c>
      <c r="O507" s="153">
        <f>[2]Base!AQ507</f>
        <v>1302288878</v>
      </c>
      <c r="P507" s="154">
        <f>[2]Base!EF507</f>
        <v>1.8056861574456294E-3</v>
      </c>
      <c r="Q507" s="154">
        <f>[2]Base!EH507</f>
        <v>0.3301534561673497</v>
      </c>
      <c r="R507" s="154">
        <f>[2]Base!EJ507</f>
        <v>0.45902915635589109</v>
      </c>
      <c r="S507" s="155">
        <f>[2]Base!EL507</f>
        <v>0.20901170131931357</v>
      </c>
      <c r="T507" s="135"/>
    </row>
    <row r="508" spans="2:20" thickTop="1" thickBot="1" x14ac:dyDescent="0.3">
      <c r="B508" s="146" t="str">
        <f>[2]Base!A508</f>
        <v>DIRECIONAL</v>
      </c>
      <c r="C508" s="147" t="str">
        <f>[2]Base!C508</f>
        <v>NM</v>
      </c>
      <c r="D508" s="147" t="str">
        <f>[2]Base!EQ508</f>
        <v>Incorporações</v>
      </c>
      <c r="E508" s="147" t="str">
        <f>[2]Base!M508</f>
        <v>Itaú BBA</v>
      </c>
      <c r="F508" s="147" t="str">
        <f>[2]Base!F508</f>
        <v>FOLLOW-ON</v>
      </c>
      <c r="G508" s="147" t="s">
        <v>29</v>
      </c>
      <c r="H508" s="148">
        <f>[2]Base!X508</f>
        <v>45106</v>
      </c>
      <c r="I508" s="149">
        <f>[2]Base!W508</f>
        <v>18.25</v>
      </c>
      <c r="J508" s="150">
        <f>[2]Base!J508</f>
        <v>45110</v>
      </c>
      <c r="K508" s="151">
        <f>[2]Base!BL508</f>
        <v>514</v>
      </c>
      <c r="L508" s="151">
        <f>[2]Base!DZ508</f>
        <v>884</v>
      </c>
      <c r="M508" s="152">
        <f>[2]Base!AO508</f>
        <v>428875000</v>
      </c>
      <c r="N508" s="152">
        <f>[2]Base!AP508</f>
        <v>0</v>
      </c>
      <c r="O508" s="153">
        <f>[2]Base!AQ508</f>
        <v>428875000</v>
      </c>
      <c r="P508" s="154">
        <f>[2]Base!EF508</f>
        <v>4.0331489361702128E-3</v>
      </c>
      <c r="Q508" s="154">
        <f>[2]Base!EH508</f>
        <v>0.63431285106382984</v>
      </c>
      <c r="R508" s="154">
        <f>[2]Base!EJ508</f>
        <v>0.35717612765957446</v>
      </c>
      <c r="S508" s="155">
        <f>[2]Base!EL508</f>
        <v>4.4778723404255323E-3</v>
      </c>
      <c r="T508" s="135"/>
    </row>
    <row r="509" spans="2:20" thickTop="1" thickBot="1" x14ac:dyDescent="0.3">
      <c r="B509" s="146" t="str">
        <f>[2]Base!A509</f>
        <v>HIDROVIAS</v>
      </c>
      <c r="C509" s="147" t="str">
        <f>[2]Base!C509</f>
        <v>NM</v>
      </c>
      <c r="D509" s="147" t="str">
        <f>[2]Base!EQ509</f>
        <v>Tansporte Hidroviário</v>
      </c>
      <c r="E509" s="147" t="str">
        <f>[2]Base!M509</f>
        <v>Itaú BBA</v>
      </c>
      <c r="F509" s="147" t="str">
        <f>[2]Base!F509</f>
        <v>FOLLOW-ON</v>
      </c>
      <c r="G509" s="147" t="s">
        <v>29</v>
      </c>
      <c r="H509" s="148">
        <f>[2]Base!X509</f>
        <v>45119</v>
      </c>
      <c r="I509" s="149">
        <f>[2]Base!W509</f>
        <v>3.4</v>
      </c>
      <c r="J509" s="150">
        <f>[2]Base!J509</f>
        <v>45119</v>
      </c>
      <c r="K509" s="151">
        <f>[2]Base!BL509</f>
        <v>1</v>
      </c>
      <c r="L509" s="151">
        <f>[2]Base!DZ509</f>
        <v>167</v>
      </c>
      <c r="M509" s="152">
        <f>[2]Base!AO509</f>
        <v>0</v>
      </c>
      <c r="N509" s="152">
        <f>[2]Base!AP509</f>
        <v>442000000</v>
      </c>
      <c r="O509" s="153">
        <f>[2]Base!AQ509</f>
        <v>442000000</v>
      </c>
      <c r="P509" s="154">
        <f>[2]Base!EF509</f>
        <v>2.4537692307692307E-3</v>
      </c>
      <c r="Q509" s="154">
        <f>[2]Base!EH509</f>
        <v>0.58281086923076919</v>
      </c>
      <c r="R509" s="154">
        <f>[2]Base!EJ509</f>
        <v>0.22242766923076923</v>
      </c>
      <c r="S509" s="155">
        <f>[2]Base!EL509</f>
        <v>0.19230769230769232</v>
      </c>
      <c r="T509" s="135"/>
    </row>
    <row r="510" spans="2:20" thickTop="1" thickBot="1" x14ac:dyDescent="0.3">
      <c r="B510" s="146" t="str">
        <f>[2]Base!A510</f>
        <v>MRV</v>
      </c>
      <c r="C510" s="147" t="str">
        <f>[2]Base!C510</f>
        <v>NM</v>
      </c>
      <c r="D510" s="147" t="str">
        <f>[2]Base!EQ510</f>
        <v>Incorporações</v>
      </c>
      <c r="E510" s="147" t="str">
        <f>[2]Base!M510</f>
        <v>BTG Pactual</v>
      </c>
      <c r="F510" s="147" t="str">
        <f>[2]Base!F510</f>
        <v>FOLLOW-ON</v>
      </c>
      <c r="G510" s="147" t="s">
        <v>29</v>
      </c>
      <c r="H510" s="148">
        <f>[2]Base!X510</f>
        <v>45120</v>
      </c>
      <c r="I510" s="149">
        <f>[2]Base!W510</f>
        <v>12.8</v>
      </c>
      <c r="J510" s="150">
        <f>[2]Base!J510</f>
        <v>45124</v>
      </c>
      <c r="K510" s="151">
        <f>[2]Base!BL510</f>
        <v>406</v>
      </c>
      <c r="L510" s="151">
        <f>[2]Base!DZ510</f>
        <v>839</v>
      </c>
      <c r="M510" s="152">
        <f>[2]Base!AO510</f>
        <v>1000793600</v>
      </c>
      <c r="N510" s="152">
        <f>[2]Base!AP510</f>
        <v>0</v>
      </c>
      <c r="O510" s="153">
        <f>[2]Base!AQ510</f>
        <v>1000793600</v>
      </c>
      <c r="P510" s="154">
        <f>[2]Base!EF510</f>
        <v>2.3110875209433794E-3</v>
      </c>
      <c r="Q510" s="154">
        <f>[2]Base!EH510</f>
        <v>0.63745205724736853</v>
      </c>
      <c r="R510" s="154">
        <f>[2]Base!EJ510</f>
        <v>0.35017959507334984</v>
      </c>
      <c r="S510" s="155">
        <f>[2]Base!EL510</f>
        <v>1.0057260158338343E-2</v>
      </c>
      <c r="T510" s="135"/>
    </row>
    <row r="511" spans="2:20" thickTop="1" thickBot="1" x14ac:dyDescent="0.3">
      <c r="B511" s="146" t="str">
        <f>[2]Base!A511</f>
        <v>BRF</v>
      </c>
      <c r="C511" s="147" t="str">
        <f>[2]Base!C511</f>
        <v>NM</v>
      </c>
      <c r="D511" s="147" t="str">
        <f>[2]Base!EQ511</f>
        <v>Carnes e Derivados</v>
      </c>
      <c r="E511" s="147" t="str">
        <f>[2]Base!M511</f>
        <v>J.P. Morgan</v>
      </c>
      <c r="F511" s="147" t="str">
        <f>[2]Base!F511</f>
        <v>FOLLOW-ON</v>
      </c>
      <c r="G511" s="147" t="s">
        <v>29</v>
      </c>
      <c r="H511" s="148">
        <f>[2]Base!X511</f>
        <v>45121</v>
      </c>
      <c r="I511" s="149">
        <f>[2]Base!W511</f>
        <v>9</v>
      </c>
      <c r="J511" s="150">
        <f>[2]Base!J511</f>
        <v>45124</v>
      </c>
      <c r="K511" s="151">
        <f>[2]Base!BL511</f>
        <v>503</v>
      </c>
      <c r="L511" s="151">
        <f>[2]Base!DZ511</f>
        <v>890</v>
      </c>
      <c r="M511" s="152">
        <f>[2]Base!AO511</f>
        <v>5400000000</v>
      </c>
      <c r="N511" s="152">
        <f>[2]Base!AP511</f>
        <v>0</v>
      </c>
      <c r="O511" s="153">
        <f>[2]Base!AQ511</f>
        <v>5400000000</v>
      </c>
      <c r="P511" s="154">
        <f>[2]Base!EF511</f>
        <v>6.5553033333333333E-3</v>
      </c>
      <c r="Q511" s="154">
        <f>[2]Base!EH511</f>
        <v>0.25606684666666668</v>
      </c>
      <c r="R511" s="154">
        <f>[2]Base!EJ511</f>
        <v>0.40318886333333331</v>
      </c>
      <c r="S511" s="155">
        <f>[2]Base!EL511</f>
        <v>0.33418898666666669</v>
      </c>
      <c r="T511" s="135"/>
    </row>
    <row r="512" spans="2:20" thickTop="1" thickBot="1" x14ac:dyDescent="0.3">
      <c r="B512" s="146" t="str">
        <f>[2]Base!A512</f>
        <v xml:space="preserve">VIVEO </v>
      </c>
      <c r="C512" s="147" t="str">
        <f>[2]Base!C512</f>
        <v>NM</v>
      </c>
      <c r="D512" s="147" t="str">
        <f>[2]Base!EQ512</f>
        <v>Medicamentos e Outros Produtos</v>
      </c>
      <c r="E512" s="147" t="str">
        <f>[2]Base!M512</f>
        <v>Banco Itaú BBA S.A</v>
      </c>
      <c r="F512" s="147" t="str">
        <f>[2]Base!F512</f>
        <v>FOLLOW-ON</v>
      </c>
      <c r="G512" s="147" t="s">
        <v>29</v>
      </c>
      <c r="H512" s="148">
        <f>[2]Base!X512</f>
        <v>45139</v>
      </c>
      <c r="I512" s="149">
        <f>[2]Base!W512</f>
        <v>21.21</v>
      </c>
      <c r="J512" s="150">
        <f>[2]Base!J512</f>
        <v>45139</v>
      </c>
      <c r="K512" s="151">
        <f>[2]Base!BL512</f>
        <v>5</v>
      </c>
      <c r="L512" s="151">
        <f>[2]Base!DZ512</f>
        <v>195</v>
      </c>
      <c r="M512" s="152">
        <f>[2]Base!AO512</f>
        <v>778348630.08000004</v>
      </c>
      <c r="N512" s="152">
        <f>[2]Base!AP512</f>
        <v>445410000</v>
      </c>
      <c r="O512" s="153">
        <f>[2]Base!AQ512</f>
        <v>1223758630.0799999</v>
      </c>
      <c r="P512" s="154">
        <f>[2]Base!EF512</f>
        <v>1.4167400150523642E-3</v>
      </c>
      <c r="Q512" s="154">
        <f>[2]Base!EH512</f>
        <v>0.57070897038278157</v>
      </c>
      <c r="R512" s="154">
        <f>[2]Base!EJ512</f>
        <v>0.41790552991366242</v>
      </c>
      <c r="S512" s="155">
        <f>[2]Base!EL512</f>
        <v>9.968759688503687E-3</v>
      </c>
      <c r="T512" s="135"/>
    </row>
    <row r="513" spans="2:20" thickTop="1" thickBot="1" x14ac:dyDescent="0.3">
      <c r="B513" s="146" t="str">
        <f>[2]Base!A513</f>
        <v>COPEL</v>
      </c>
      <c r="C513" s="147" t="str">
        <f>[2]Base!C513</f>
        <v>N2</v>
      </c>
      <c r="D513" s="147" t="str">
        <f>[2]Base!EQ513</f>
        <v>Energia Elétrica</v>
      </c>
      <c r="E513" s="147" t="str">
        <f>[2]Base!M513</f>
        <v>Banco BTG Pactual S.A.</v>
      </c>
      <c r="F513" s="147" t="str">
        <f>[2]Base!F513</f>
        <v>FOLLOW-ON</v>
      </c>
      <c r="G513" s="147" t="s">
        <v>29</v>
      </c>
      <c r="H513" s="148">
        <f>[2]Base!X513</f>
        <v>45146</v>
      </c>
      <c r="I513" s="149">
        <f>[2]Base!W513</f>
        <v>8.25</v>
      </c>
      <c r="J513" s="150">
        <f>[2]Base!J513</f>
        <v>45148</v>
      </c>
      <c r="K513" s="151">
        <f>[2]Base!BL513</f>
        <v>3838</v>
      </c>
      <c r="L513" s="151">
        <f>[2]Base!DZ513</f>
        <v>4473</v>
      </c>
      <c r="M513" s="152">
        <f>[2]Base!AO513</f>
        <v>2031618938.25</v>
      </c>
      <c r="N513" s="152">
        <f>[2]Base!AP513</f>
        <v>3099820424.25</v>
      </c>
      <c r="O513" s="153">
        <f>[2]Base!AQ513</f>
        <v>5131439362.5</v>
      </c>
      <c r="P513" s="154">
        <f>[2]Base!EF513</f>
        <v>1.6074064540794814E-2</v>
      </c>
      <c r="Q513" s="154">
        <f>[2]Base!EH513</f>
        <v>0.55441000468413892</v>
      </c>
      <c r="R513" s="154">
        <f>[2]Base!EJ513</f>
        <v>0.44362849946860305</v>
      </c>
      <c r="S513" s="155">
        <f>[2]Base!EL513</f>
        <v>1.2477414323143528E-3</v>
      </c>
      <c r="T513" s="135"/>
    </row>
    <row r="514" spans="2:20" thickTop="1" thickBot="1" x14ac:dyDescent="0.3">
      <c r="B514" s="146" t="str">
        <f>[2]Base!A514</f>
        <v>TENDA</v>
      </c>
      <c r="C514" s="147" t="str">
        <f>[2]Base!C514</f>
        <v>NM</v>
      </c>
      <c r="D514" s="147" t="str">
        <f>[2]Base!EQ514</f>
        <v>Incorporações</v>
      </c>
      <c r="E514" s="147" t="str">
        <f>[2]Base!M514</f>
        <v>Banco Bradesco BBI S.A</v>
      </c>
      <c r="F514" s="147" t="str">
        <f>[2]Base!F514</f>
        <v>FOLLOW-ON</v>
      </c>
      <c r="G514" s="147" t="s">
        <v>29</v>
      </c>
      <c r="H514" s="148">
        <f>[2]Base!X514</f>
        <v>45173</v>
      </c>
      <c r="I514" s="149">
        <f>[2]Base!W514</f>
        <v>12.5</v>
      </c>
      <c r="J514" s="150">
        <f>[2]Base!J514</f>
        <v>45175</v>
      </c>
      <c r="K514" s="151">
        <f>[2]Base!BL514</f>
        <v>56</v>
      </c>
      <c r="L514" s="151">
        <f>[2]Base!DZ514</f>
        <v>239</v>
      </c>
      <c r="M514" s="152">
        <f>[2]Base!AO514</f>
        <v>187500000</v>
      </c>
      <c r="N514" s="152">
        <f>[2]Base!AP514</f>
        <v>46875000</v>
      </c>
      <c r="O514" s="153">
        <f>[2]Base!AQ514</f>
        <v>234375000</v>
      </c>
      <c r="P514" s="154">
        <f>[2]Base!EF514</f>
        <v>3.6344533333333333E-3</v>
      </c>
      <c r="Q514" s="154">
        <f>[2]Base!EH514</f>
        <v>0.84315152000000004</v>
      </c>
      <c r="R514" s="154">
        <f>[2]Base!EJ514</f>
        <v>0.14738138666666667</v>
      </c>
      <c r="S514" s="155">
        <f>[2]Base!EL514</f>
        <v>5.83264E-3</v>
      </c>
      <c r="T514" s="135"/>
    </row>
    <row r="515" spans="2:20" thickTop="1" thickBot="1" x14ac:dyDescent="0.3">
      <c r="B515" s="146" t="str">
        <f>[2]Base!A515</f>
        <v>CASAS BAHIA</v>
      </c>
      <c r="C515" s="147" t="str">
        <f>[2]Base!C515</f>
        <v>NM</v>
      </c>
      <c r="D515" s="147" t="str">
        <f>[2]Base!EQ515</f>
        <v>Eletrodomésticos</v>
      </c>
      <c r="E515" s="147" t="str">
        <f>[2]Base!M515</f>
        <v>UBS Brasil Corretora de Câmbio, Títulos e Valores Mobiliários S.A.</v>
      </c>
      <c r="F515" s="147" t="str">
        <f>[2]Base!F515</f>
        <v>FOLLOW-ON</v>
      </c>
      <c r="G515" s="147" t="s">
        <v>29</v>
      </c>
      <c r="H515" s="148">
        <f>[2]Base!X515</f>
        <v>45182</v>
      </c>
      <c r="I515" s="149">
        <f>[2]Base!W515</f>
        <v>0.8</v>
      </c>
      <c r="J515" s="150">
        <f>[2]Base!J515</f>
        <v>45187</v>
      </c>
      <c r="K515" s="151">
        <f>[2]Base!BL515</f>
        <v>1700</v>
      </c>
      <c r="L515" s="151">
        <f>[2]Base!DZ515</f>
        <v>2084</v>
      </c>
      <c r="M515" s="152">
        <f>[2]Base!AO515</f>
        <v>622919426.39999998</v>
      </c>
      <c r="N515" s="152">
        <f>[2]Base!AP515</f>
        <v>0</v>
      </c>
      <c r="O515" s="153">
        <f>[2]Base!AQ515</f>
        <v>622919426.39999998</v>
      </c>
      <c r="P515" s="154">
        <f>[2]Base!EF515</f>
        <v>1.6066568445038946E-2</v>
      </c>
      <c r="Q515" s="154">
        <f>[2]Base!EH515</f>
        <v>0.6998334178136012</v>
      </c>
      <c r="R515" s="154">
        <f>[2]Base!EJ515</f>
        <v>0.15219737382073723</v>
      </c>
      <c r="S515" s="155">
        <f>[2]Base!EL515</f>
        <v>0.13190263992062265</v>
      </c>
      <c r="T515" s="135"/>
    </row>
    <row r="516" spans="2:20" thickTop="1" thickBot="1" x14ac:dyDescent="0.3">
      <c r="B516" s="146" t="str">
        <f>[2]Base!A516</f>
        <v>BR PARTNERS</v>
      </c>
      <c r="C516" s="147" t="str">
        <f>[2]Base!C516</f>
        <v>N2</v>
      </c>
      <c r="D516" s="147" t="str">
        <f>[2]Base!EQ516</f>
        <v>Bancos</v>
      </c>
      <c r="E516" s="147" t="str">
        <f>[2]Base!M516</f>
        <v>BTG Pactual Investment Banking Ltda.</v>
      </c>
      <c r="F516" s="147" t="str">
        <f>[2]Base!F516</f>
        <v>FOLLOW-ON</v>
      </c>
      <c r="G516" s="147" t="s">
        <v>29</v>
      </c>
      <c r="H516" s="148">
        <f>[2]Base!X516</f>
        <v>45195</v>
      </c>
      <c r="I516" s="149">
        <f>[2]Base!W516</f>
        <v>4.25</v>
      </c>
      <c r="J516" s="150">
        <f>[2]Base!J516</f>
        <v>45197</v>
      </c>
      <c r="K516" s="151">
        <f>[2]Base!BL516</f>
        <v>0</v>
      </c>
      <c r="L516" s="151">
        <f>[2]Base!DZ516</f>
        <v>92</v>
      </c>
      <c r="M516" s="152">
        <f>[2]Base!AO516</f>
        <v>0</v>
      </c>
      <c r="N516" s="152">
        <f>[2]Base!AP516</f>
        <v>214479747.75</v>
      </c>
      <c r="O516" s="153">
        <f>[2]Base!AQ516</f>
        <v>214479747.75</v>
      </c>
      <c r="P516" s="154">
        <f>[2]Base!EF516</f>
        <v>0</v>
      </c>
      <c r="Q516" s="154">
        <f>[2]Base!EH516</f>
        <v>0.20620291875553085</v>
      </c>
      <c r="R516" s="154">
        <f>[2]Base!EJ516</f>
        <v>8.0505969356726825E-2</v>
      </c>
      <c r="S516" s="155">
        <f>[2]Base!EL516</f>
        <v>4.6624445221075658E-2</v>
      </c>
      <c r="T516" s="135"/>
    </row>
    <row r="517" spans="2:20" thickTop="1" thickBot="1" x14ac:dyDescent="0.3">
      <c r="B517" s="146" t="str">
        <f>[2]Base!A517</f>
        <v>AMBIPAR</v>
      </c>
      <c r="C517" s="147" t="str">
        <f>[2]Base!C517</f>
        <v>NM</v>
      </c>
      <c r="D517" s="147" t="str">
        <f>[2]Base!EQ517</f>
        <v>Água e Saneamento</v>
      </c>
      <c r="E517" s="147" t="str">
        <f>[2]Base!M517</f>
        <v>BTG Pactual Investment Banking Ltda.</v>
      </c>
      <c r="F517" s="147" t="str">
        <f>[2]Base!F517</f>
        <v>FOLLOW-ON</v>
      </c>
      <c r="G517" s="147" t="s">
        <v>29</v>
      </c>
      <c r="H517" s="148">
        <f>[2]Base!X517</f>
        <v>45230</v>
      </c>
      <c r="I517" s="149">
        <f>[2]Base!W517</f>
        <v>13.25</v>
      </c>
      <c r="J517" s="150">
        <f>[2]Base!J517</f>
        <v>45233</v>
      </c>
      <c r="K517" s="151">
        <f>[2]Base!BL517</f>
        <v>443</v>
      </c>
      <c r="L517" s="151">
        <f>[2]Base!DZ517</f>
        <v>590</v>
      </c>
      <c r="M517" s="152">
        <f>[2]Base!AO517</f>
        <v>716908223.25</v>
      </c>
      <c r="N517" s="152">
        <f>[2]Base!AP517</f>
        <v>0</v>
      </c>
      <c r="O517" s="153">
        <f>[2]Base!AQ517</f>
        <v>716908223.25</v>
      </c>
      <c r="P517" s="154">
        <f>[2]Base!EF517</f>
        <v>5.0920890312161722E-3</v>
      </c>
      <c r="Q517" s="154">
        <f>[2]Base!EH517</f>
        <v>0.19267897935916165</v>
      </c>
      <c r="R517" s="154">
        <f>[2]Base!EJ517</f>
        <v>2.0831038082251487E-2</v>
      </c>
      <c r="S517" s="155">
        <f>[2]Base!EL517</f>
        <v>0.78139789352737066</v>
      </c>
      <c r="T517" s="135"/>
    </row>
    <row r="518" spans="2:20" thickTop="1" thickBot="1" x14ac:dyDescent="0.3">
      <c r="B518" s="146" t="str">
        <f>[2]Base!A518</f>
        <v>METAL LEVE</v>
      </c>
      <c r="C518" s="147" t="str">
        <f>[2]Base!C518</f>
        <v>NM</v>
      </c>
      <c r="D518" s="147" t="str">
        <f>[2]Base!EQ518</f>
        <v>Automóveis e Motocicletas</v>
      </c>
      <c r="E518" s="147" t="str">
        <f>[2]Base!M518</f>
        <v>Banco Itaú BBA S.A.</v>
      </c>
      <c r="F518" s="147" t="str">
        <f>[2]Base!F518</f>
        <v>FOLLOW-ON</v>
      </c>
      <c r="G518" s="147" t="s">
        <v>29</v>
      </c>
      <c r="H518" s="148">
        <f>[2]Base!X518</f>
        <v>45230</v>
      </c>
      <c r="I518" s="149">
        <f>[2]Base!W518</f>
        <v>28</v>
      </c>
      <c r="J518" s="150">
        <f>[2]Base!J518</f>
        <v>45236</v>
      </c>
      <c r="K518" s="151">
        <f>[2]Base!BL518</f>
        <v>461</v>
      </c>
      <c r="L518" s="151">
        <f>[2]Base!DZ518</f>
        <v>659</v>
      </c>
      <c r="M518" s="152">
        <f>[2]Base!AO518</f>
        <v>202454000</v>
      </c>
      <c r="N518" s="152">
        <f>[2]Base!AP518</f>
        <v>200000024</v>
      </c>
      <c r="O518" s="153">
        <f>[2]Base!AQ518</f>
        <v>402454024</v>
      </c>
      <c r="P518" s="154">
        <f>[2]Base!EF518</f>
        <v>2.7580889587527145E-3</v>
      </c>
      <c r="Q518" s="154">
        <f>[2]Base!EH518</f>
        <v>0.68327561311699048</v>
      </c>
      <c r="R518" s="154">
        <f>[2]Base!EJ518</f>
        <v>0.3138984640889067</v>
      </c>
      <c r="S518" s="155">
        <f>[2]Base!EL518</f>
        <v>6.7833835350097037E-5</v>
      </c>
      <c r="T518" s="135"/>
    </row>
    <row r="519" spans="2:20" thickTop="1" thickBot="1" x14ac:dyDescent="0.3">
      <c r="B519" s="146" t="str">
        <f>[2]Base!A519</f>
        <v>AERIS</v>
      </c>
      <c r="C519" s="147" t="str">
        <f>[2]Base!C519</f>
        <v>NM</v>
      </c>
      <c r="D519" s="147" t="str">
        <f>[2]Base!EQ519</f>
        <v>Máq. e Equip. Industriais</v>
      </c>
      <c r="E519" s="147" t="str">
        <f>[2]Base!M519</f>
        <v>BTG Pactual Investment Banking Ltda</v>
      </c>
      <c r="F519" s="147" t="str">
        <f>[2]Base!F519</f>
        <v>FOLLOW-ON</v>
      </c>
      <c r="G519" s="147" t="s">
        <v>29</v>
      </c>
      <c r="H519" s="148">
        <f>[2]Base!X519</f>
        <v>45260</v>
      </c>
      <c r="I519" s="149">
        <f>[2]Base!W519</f>
        <v>0.84</v>
      </c>
      <c r="J519" s="150">
        <f>[2]Base!J519</f>
        <v>45264</v>
      </c>
      <c r="K519" s="151">
        <f>[2]Base!BL519</f>
        <v>642</v>
      </c>
      <c r="L519" s="151">
        <f>[2]Base!DZ519</f>
        <v>788</v>
      </c>
      <c r="M519" s="152">
        <f>[2]Base!AO519</f>
        <v>400000000.68000001</v>
      </c>
      <c r="N519" s="152">
        <f>[2]Base!AP519</f>
        <v>0</v>
      </c>
      <c r="O519" s="153">
        <f>[2]Base!AQ519</f>
        <v>400000000.68000001</v>
      </c>
      <c r="P519" s="154">
        <f>[2]Base!EF519</f>
        <v>6.1464269895510739E-3</v>
      </c>
      <c r="Q519" s="154">
        <f>[2]Base!EH519</f>
        <v>3.0870230947520607E-3</v>
      </c>
      <c r="R519" s="154">
        <f>[2]Base!EJ519</f>
        <v>5.0588390913999734E-3</v>
      </c>
      <c r="S519" s="155">
        <f>[2]Base!EL519</f>
        <v>0.98570771082429687</v>
      </c>
      <c r="T519" s="135"/>
    </row>
    <row r="520" spans="2:20" thickTop="1" thickBot="1" x14ac:dyDescent="0.3">
      <c r="B520" s="146" t="str">
        <f>[2]Base!A520</f>
        <v>INFRACOMM</v>
      </c>
      <c r="C520" s="147" t="str">
        <f>[2]Base!C520</f>
        <v>NM</v>
      </c>
      <c r="D520" s="147" t="str">
        <f>[2]Base!EQ520</f>
        <v>Programas e Serviços</v>
      </c>
      <c r="E520" s="147" t="str">
        <f>[2]Base!M520</f>
        <v>Banco Itaú BBA S.A.</v>
      </c>
      <c r="F520" s="147" t="str">
        <f>[2]Base!F520</f>
        <v>FOLLOW-ON</v>
      </c>
      <c r="G520" s="147" t="s">
        <v>29</v>
      </c>
      <c r="H520" s="148">
        <f>[2]Base!X520</f>
        <v>45274</v>
      </c>
      <c r="I520" s="149">
        <f>[2]Base!W520</f>
        <v>1.6</v>
      </c>
      <c r="J520" s="150">
        <f>[2]Base!J520</f>
        <v>45278</v>
      </c>
      <c r="K520" s="151">
        <f>[2]Base!BL520</f>
        <v>237</v>
      </c>
      <c r="L520" s="151">
        <f>[2]Base!DZ520</f>
        <v>360</v>
      </c>
      <c r="M520" s="152">
        <f>[2]Base!AO520</f>
        <v>400000000</v>
      </c>
      <c r="N520" s="152">
        <f>[2]Base!AP520</f>
        <v>0</v>
      </c>
      <c r="O520" s="153">
        <f>[2]Base!AQ520</f>
        <v>400000000</v>
      </c>
      <c r="P520" s="154">
        <f>[2]Base!EF520</f>
        <v>1.8171179999999999E-2</v>
      </c>
      <c r="Q520" s="154">
        <f>[2]Base!EH520</f>
        <v>0.30932751200000003</v>
      </c>
      <c r="R520" s="154">
        <f>[2]Base!EJ520</f>
        <v>0.47062782400000008</v>
      </c>
      <c r="S520" s="155">
        <f>[2]Base!EL520</f>
        <v>7.0200880000000007E-3</v>
      </c>
      <c r="T520" s="135"/>
    </row>
    <row r="521" spans="2:20" thickTop="1" thickBot="1" x14ac:dyDescent="0.3">
      <c r="B521" s="146" t="str">
        <f>[2]Base!A521</f>
        <v>ENERGISA</v>
      </c>
      <c r="C521" s="147" t="str">
        <f>[2]Base!C521</f>
        <v>N2</v>
      </c>
      <c r="D521" s="147" t="str">
        <f>[2]Base!EQ521</f>
        <v>Energia Elétrica</v>
      </c>
      <c r="E521" s="147" t="str">
        <f>[2]Base!M521</f>
        <v xml:space="preserve">Banco Itaú BBA S.A. </v>
      </c>
      <c r="F521" s="147" t="str">
        <f>[2]Base!F521</f>
        <v>FOLLOW-ON</v>
      </c>
      <c r="G521" s="147" t="s">
        <v>29</v>
      </c>
      <c r="H521" s="148">
        <f>[2]Base!X521</f>
        <v>45320</v>
      </c>
      <c r="I521" s="149">
        <f>[2]Base!W521</f>
        <v>9.9600000000000009</v>
      </c>
      <c r="J521" s="150">
        <f>[2]Base!J521</f>
        <v>45322</v>
      </c>
      <c r="K521" s="151">
        <f>[2]Base!BL521</f>
        <v>86</v>
      </c>
      <c r="L521" s="151">
        <f>[2]Base!DZ521</f>
        <v>1675</v>
      </c>
      <c r="M521" s="152">
        <f>[2]Base!AO521</f>
        <v>2493367705.0800004</v>
      </c>
      <c r="N521" s="152">
        <f>[2]Base!AP521</f>
        <v>0</v>
      </c>
      <c r="O521" s="153">
        <f>[2]Base!AQ521</f>
        <v>2493367705.0800004</v>
      </c>
      <c r="P521" s="154">
        <f>[2]Base!EF521</f>
        <v>1.0121902208238574E-2</v>
      </c>
      <c r="Q521" s="154">
        <f>[2]Base!EH521</f>
        <v>0.39021079502141981</v>
      </c>
      <c r="R521" s="154">
        <f>[2]Base!EJ521</f>
        <v>0.22598613156494743</v>
      </c>
      <c r="S521" s="155">
        <f>[2]Base!EL521</f>
        <v>0.37368117120539407</v>
      </c>
      <c r="T521" s="135"/>
    </row>
    <row r="522" spans="2:20" thickTop="1" thickBot="1" x14ac:dyDescent="0.3">
      <c r="B522" s="146" t="str">
        <f>[2]Base!A522</f>
        <v>VULCABRAS</v>
      </c>
      <c r="C522" s="147" t="str">
        <f>[2]Base!C522</f>
        <v xml:space="preserve">NM </v>
      </c>
      <c r="D522" s="147" t="str">
        <f>[2]Base!EQ522</f>
        <v>Calçados</v>
      </c>
      <c r="E522" s="147" t="str">
        <f>[2]Base!M522</f>
        <v>BTG Pactual Investment Banking Ltda.</v>
      </c>
      <c r="F522" s="147" t="str">
        <f>[2]Base!F522</f>
        <v>FOLLOW-ON</v>
      </c>
      <c r="G522" s="147" t="s">
        <v>29</v>
      </c>
      <c r="H522" s="148">
        <f>[2]Base!X522</f>
        <v>45328</v>
      </c>
      <c r="I522" s="149">
        <f>[2]Base!W522</f>
        <v>18.5</v>
      </c>
      <c r="J522" s="150">
        <f>[2]Base!J522</f>
        <v>45330</v>
      </c>
      <c r="K522" s="151">
        <f>[2]Base!BL522</f>
        <v>132</v>
      </c>
      <c r="L522" s="151">
        <f>[2]Base!DZ522</f>
        <v>363</v>
      </c>
      <c r="M522" s="152">
        <f>[2]Base!AO522</f>
        <v>501350000</v>
      </c>
      <c r="N522" s="152">
        <f>[2]Base!AP522</f>
        <v>0</v>
      </c>
      <c r="O522" s="153">
        <f>[2]Base!AQ522</f>
        <v>501350000</v>
      </c>
      <c r="P522" s="154">
        <f>[2]Base!EF522</f>
        <v>9.4103690036900361E-3</v>
      </c>
      <c r="Q522" s="154">
        <f>[2]Base!EH522</f>
        <v>0.57320147601476013</v>
      </c>
      <c r="R522" s="154">
        <f>[2]Base!EJ522</f>
        <v>0.22573583025830257</v>
      </c>
      <c r="S522" s="155">
        <f>[2]Base!EL522</f>
        <v>0.19165232472324722</v>
      </c>
      <c r="T522" s="135"/>
    </row>
    <row r="523" spans="2:20" thickTop="1" thickBot="1" x14ac:dyDescent="0.3">
      <c r="B523" s="146" t="str">
        <f>[2]Base!A523</f>
        <v>PRINER</v>
      </c>
      <c r="C523" s="147" t="str">
        <f>[2]Base!C523</f>
        <v>NM</v>
      </c>
      <c r="D523" s="147" t="str">
        <f>[2]Base!EQ523</f>
        <v>Serviços Diversos</v>
      </c>
      <c r="E523" s="147" t="str">
        <f>[2]Base!M523</f>
        <v>Banco Itaú BBA S.A.</v>
      </c>
      <c r="F523" s="147" t="str">
        <f>[2]Base!F523</f>
        <v>FOLLOW-ON</v>
      </c>
      <c r="G523" s="147" t="s">
        <v>29</v>
      </c>
      <c r="H523" s="148">
        <f>[2]Base!X523</f>
        <v>45330</v>
      </c>
      <c r="I523" s="149">
        <f>[2]Base!W523</f>
        <v>11.44</v>
      </c>
      <c r="J523" s="150">
        <f>[2]Base!J523</f>
        <v>45336</v>
      </c>
      <c r="K523" s="151">
        <f>[2]Base!BL523</f>
        <v>101</v>
      </c>
      <c r="L523" s="151">
        <f>[2]Base!DZ523</f>
        <v>176</v>
      </c>
      <c r="M523" s="152">
        <f>[2]Base!AO523</f>
        <v>89375000</v>
      </c>
      <c r="N523" s="152">
        <f>[2]Base!AP523</f>
        <v>0</v>
      </c>
      <c r="O523" s="153">
        <f>[2]Base!AQ523</f>
        <v>89375000</v>
      </c>
      <c r="P523" s="154">
        <f>[2]Base!EF523</f>
        <v>1.5108479999999999E-2</v>
      </c>
      <c r="Q523" s="154">
        <f>[2]Base!EH523</f>
        <v>0.93813235200000011</v>
      </c>
      <c r="R523" s="154">
        <f>[2]Base!EJ523</f>
        <v>4.2719488E-2</v>
      </c>
      <c r="S523" s="155">
        <f>[2]Base!EL523</f>
        <v>4.0396799999999995E-3</v>
      </c>
      <c r="T523" s="135"/>
    </row>
    <row r="524" spans="2:20" thickTop="1" thickBot="1" x14ac:dyDescent="0.3">
      <c r="B524" s="146" t="str">
        <f>[2]Base!A524</f>
        <v>P.ACUCAR-CBD</v>
      </c>
      <c r="C524" s="147" t="str">
        <f>[2]Base!C524</f>
        <v>NM</v>
      </c>
      <c r="D524" s="147" t="str">
        <f>[2]Base!EQ524</f>
        <v>Alimentos</v>
      </c>
      <c r="E524" s="147" t="str">
        <f>[2]Base!M524</f>
        <v xml:space="preserve">Banco Itaú BBA S.A. </v>
      </c>
      <c r="F524" s="147" t="str">
        <f>[2]Base!F524</f>
        <v>FOLLOW-ON</v>
      </c>
      <c r="G524" s="147" t="s">
        <v>29</v>
      </c>
      <c r="H524" s="148">
        <f>[2]Base!X524</f>
        <v>45364</v>
      </c>
      <c r="I524" s="149">
        <f>[2]Base!W524</f>
        <v>3.2</v>
      </c>
      <c r="J524" s="150">
        <f>[2]Base!J524</f>
        <v>45366</v>
      </c>
      <c r="K524" s="151">
        <f>[2]Base!BL524</f>
        <v>147</v>
      </c>
      <c r="L524" s="151">
        <f>[2]Base!DZ524</f>
        <v>389</v>
      </c>
      <c r="M524" s="152">
        <f>[2]Base!AO524</f>
        <v>704000000</v>
      </c>
      <c r="N524" s="152">
        <f>[2]Base!AP524</f>
        <v>0</v>
      </c>
      <c r="O524" s="153">
        <f>[2]Base!AQ524</f>
        <v>704000000</v>
      </c>
      <c r="P524" s="154">
        <f>[2]Base!EF524</f>
        <v>6.3961545454545451E-2</v>
      </c>
      <c r="Q524" s="154">
        <f>[2]Base!EH524</f>
        <v>0.45772170909090909</v>
      </c>
      <c r="R524" s="154">
        <f>[2]Base!EJ524</f>
        <v>0.4549614818181818</v>
      </c>
      <c r="S524" s="155">
        <f>[2]Base!EL524</f>
        <v>2.3355263636363637E-2</v>
      </c>
      <c r="T524" s="135"/>
    </row>
    <row r="525" spans="2:20" thickTop="1" thickBot="1" x14ac:dyDescent="0.3">
      <c r="B525" s="146" t="str">
        <f>[2]Base!A525</f>
        <v>SERENA</v>
      </c>
      <c r="C525" s="147" t="str">
        <f>[2]Base!C525</f>
        <v>NM</v>
      </c>
      <c r="D525" s="147" t="str">
        <f>[2]Base!EQ525</f>
        <v>Energia Elétrica</v>
      </c>
      <c r="E525" s="147" t="str">
        <f>[2]Base!M525</f>
        <v>BTG Pactual Investment Banking Ltda.</v>
      </c>
      <c r="F525" s="147" t="str">
        <f>[2]Base!F525</f>
        <v>FOLLOW-ON</v>
      </c>
      <c r="G525" s="147" t="s">
        <v>29</v>
      </c>
      <c r="H525" s="148">
        <f>[2]Base!X525</f>
        <v>45378</v>
      </c>
      <c r="I525" s="149">
        <f>[2]Base!W525</f>
        <v>9</v>
      </c>
      <c r="J525" s="150">
        <f>[2]Base!J525</f>
        <v>45383</v>
      </c>
      <c r="K525" s="151">
        <f>[2]Base!BL525</f>
        <v>1</v>
      </c>
      <c r="L525" s="151">
        <f>[2]Base!DZ525</f>
        <v>258</v>
      </c>
      <c r="M525" s="152">
        <f>[2]Base!AO525</f>
        <v>0</v>
      </c>
      <c r="N525" s="152">
        <f>[2]Base!AP525</f>
        <v>775386783</v>
      </c>
      <c r="O525" s="153">
        <f>[2]Base!AQ525</f>
        <v>775386783</v>
      </c>
      <c r="P525" s="154">
        <f>[2]Base!EF525</f>
        <v>3.8992346352646045E-3</v>
      </c>
      <c r="Q525" s="154">
        <f>[2]Base!EH525</f>
        <v>0.59505323293600687</v>
      </c>
      <c r="R525" s="154">
        <f>[2]Base!EJ525</f>
        <v>0.31721839266893975</v>
      </c>
      <c r="S525" s="155">
        <f>[2]Base!EL525</f>
        <v>8.3829139759788757E-2</v>
      </c>
      <c r="T525" s="135"/>
    </row>
    <row r="526" spans="2:20" thickTop="1" thickBot="1" x14ac:dyDescent="0.3">
      <c r="B526" s="146" t="str">
        <f>[2]Base!A526</f>
        <v>BOA SAFRA</v>
      </c>
      <c r="C526" s="147" t="str">
        <f>[2]Base!C526</f>
        <v>NM</v>
      </c>
      <c r="D526" s="147" t="str">
        <f>[2]Base!EQ526</f>
        <v>Agricultura</v>
      </c>
      <c r="E526" s="147" t="str">
        <f>[2]Base!M526</f>
        <v>BTG Pactual Investment Banking LTDA</v>
      </c>
      <c r="F526" s="147" t="str">
        <f>[2]Base!F526</f>
        <v>FOLLOW-ON</v>
      </c>
      <c r="G526" s="147" t="s">
        <v>29</v>
      </c>
      <c r="H526" s="148">
        <f>[2]Base!X526</f>
        <v>45400</v>
      </c>
      <c r="I526" s="149">
        <f>[2]Base!W526</f>
        <v>16.5</v>
      </c>
      <c r="J526" s="150">
        <f>[2]Base!J526</f>
        <v>45404</v>
      </c>
      <c r="K526" s="151">
        <f>[2]Base!BL526</f>
        <v>265</v>
      </c>
      <c r="L526" s="151">
        <f>[2]Base!DZ526</f>
        <v>414</v>
      </c>
      <c r="M526" s="152">
        <f>[2]Base!AO526</f>
        <v>299999997</v>
      </c>
      <c r="N526" s="152">
        <f>[2]Base!AP526</f>
        <v>0</v>
      </c>
      <c r="O526" s="153">
        <f>[2]Base!AQ526</f>
        <v>299999997</v>
      </c>
      <c r="P526" s="154">
        <f>[2]Base!EF526</f>
        <v>1.4569775145697751E-2</v>
      </c>
      <c r="Q526" s="154">
        <f>[2]Base!EH526</f>
        <v>0.5325268903252689</v>
      </c>
      <c r="R526" s="154">
        <f>[2]Base!EJ526</f>
        <v>5.1685040516850404E-2</v>
      </c>
      <c r="S526" s="155">
        <f>[2]Base!EL526</f>
        <v>0.40121829401218295</v>
      </c>
      <c r="T526" s="135"/>
    </row>
    <row r="527" spans="2:20" thickTop="1" thickBot="1" x14ac:dyDescent="0.3">
      <c r="B527" s="146" t="str">
        <f>[2]Base!A527</f>
        <v>TRAN PAULIST</v>
      </c>
      <c r="C527" s="147" t="str">
        <f>[2]Base!C527</f>
        <v>N1</v>
      </c>
      <c r="D527" s="147" t="str">
        <f>[2]Base!EQ527</f>
        <v>Energia Elétrica</v>
      </c>
      <c r="E527" s="147" t="str">
        <f>[2]Base!M527</f>
        <v>Citigroup Global Markets Brasil, Corretora de Câmbio, Títulos e Valores Mobiliários S.A.</v>
      </c>
      <c r="F527" s="147" t="str">
        <f>[2]Base!F527</f>
        <v>FOLLOW-ON</v>
      </c>
      <c r="G527" s="147" t="s">
        <v>29</v>
      </c>
      <c r="H527" s="148">
        <f>[2]Base!X527</f>
        <v>45491</v>
      </c>
      <c r="I527" s="149">
        <f>[2]Base!W527</f>
        <v>23.5</v>
      </c>
      <c r="J527" s="150">
        <f>[2]Base!J527</f>
        <v>45495</v>
      </c>
      <c r="K527" s="151">
        <f>[2]Base!BL527</f>
        <v>14</v>
      </c>
      <c r="L527" s="151">
        <f>[2]Base!DZ527</f>
        <v>337</v>
      </c>
      <c r="M527" s="152">
        <f>[2]Base!AO527</f>
        <v>0</v>
      </c>
      <c r="N527" s="152">
        <f>[2]Base!AP527</f>
        <v>2185500000</v>
      </c>
      <c r="O527" s="153">
        <f>[2]Base!AQ527</f>
        <v>2185500000</v>
      </c>
      <c r="P527" s="154">
        <f>[2]Base!EF527</f>
        <v>1.7473118279569893E-3</v>
      </c>
      <c r="Q527" s="154">
        <f>[2]Base!EH527</f>
        <v>0.58973763440860216</v>
      </c>
      <c r="R527" s="154">
        <f>[2]Base!EJ527</f>
        <v>0.40851505376344088</v>
      </c>
      <c r="S527" s="155">
        <f>[2]Base!EL527</f>
        <v>0</v>
      </c>
      <c r="T527" s="135"/>
    </row>
    <row r="528" spans="2:20" thickTop="1" thickBot="1" x14ac:dyDescent="0.3">
      <c r="B528" s="146" t="str">
        <f>[2]Base!A528</f>
        <v>SABESP</v>
      </c>
      <c r="C528" s="147" t="str">
        <f>[2]Base!C528</f>
        <v>NM</v>
      </c>
      <c r="D528" s="147" t="str">
        <f>[2]Base!EQ528</f>
        <v>Água e Saneamento</v>
      </c>
      <c r="E528" s="147" t="str">
        <f>[2]Base!M528</f>
        <v>BTG Pactual Investment Banking Ltda.</v>
      </c>
      <c r="F528" s="147" t="str">
        <f>[2]Base!F528</f>
        <v>FOLLOW-ON</v>
      </c>
      <c r="G528" s="147" t="s">
        <v>29</v>
      </c>
      <c r="H528" s="148">
        <f>[2]Base!X528</f>
        <v>45491</v>
      </c>
      <c r="I528" s="149">
        <f>[2]Base!W528</f>
        <v>67</v>
      </c>
      <c r="J528" s="150">
        <f>[2]Base!J528</f>
        <v>45492</v>
      </c>
      <c r="K528" s="151">
        <f>[2]Base!BL528</f>
        <v>17572</v>
      </c>
      <c r="L528" s="151">
        <f>[2]Base!DZ528</f>
        <v>19543</v>
      </c>
      <c r="M528" s="152">
        <f>[2]Base!AO528</f>
        <v>0</v>
      </c>
      <c r="N528" s="152">
        <f>[2]Base!AP528</f>
        <v>14771490000</v>
      </c>
      <c r="O528" s="153">
        <f>[2]Base!AQ528</f>
        <v>14771490000</v>
      </c>
      <c r="P528" s="154">
        <f>[2]Base!EF528</f>
        <v>9.9813598221980313E-2</v>
      </c>
      <c r="Q528" s="154">
        <f>[2]Base!EH528</f>
        <v>0.22569861659182655</v>
      </c>
      <c r="R528" s="154">
        <f>[2]Base!EJ528</f>
        <v>0.19636581847870457</v>
      </c>
      <c r="S528" s="155">
        <f>[2]Base!EL528</f>
        <v>0.47000520705764959</v>
      </c>
      <c r="T528" s="135"/>
    </row>
    <row r="529" spans="2:20" thickTop="1" thickBot="1" x14ac:dyDescent="0.3">
      <c r="B529" s="146" t="str">
        <f>[2]Base!A529</f>
        <v>ENEVA</v>
      </c>
      <c r="C529" s="147" t="str">
        <f>[2]Base!C529</f>
        <v>NM</v>
      </c>
      <c r="D529" s="147" t="str">
        <f>[2]Base!EQ529</f>
        <v>Energia Elétrica</v>
      </c>
      <c r="E529" s="147" t="str">
        <f>[2]Base!M529</f>
        <v>BTG Pactual Investment Banking Ltda.</v>
      </c>
      <c r="F529" s="147" t="str">
        <f>[2]Base!F529</f>
        <v>FOLLOW-ON</v>
      </c>
      <c r="G529" s="147" t="s">
        <v>29</v>
      </c>
      <c r="H529" s="148">
        <f>[2]Base!X529</f>
        <v>45575</v>
      </c>
      <c r="I529" s="149">
        <f>[2]Base!W529</f>
        <v>14</v>
      </c>
      <c r="J529" s="150">
        <f>[2]Base!J529</f>
        <v>45579</v>
      </c>
      <c r="K529" s="151">
        <f>[2]Base!BL529</f>
        <v>65</v>
      </c>
      <c r="L529" s="151">
        <f>[2]Base!DZ529</f>
        <v>254</v>
      </c>
      <c r="M529" s="152">
        <f>[2]Base!AO529</f>
        <v>3200000006</v>
      </c>
      <c r="N529" s="152">
        <f>[2]Base!AP529</f>
        <v>0</v>
      </c>
      <c r="O529" s="153">
        <f>[2]Base!AQ529</f>
        <v>3200000006</v>
      </c>
      <c r="P529" s="154">
        <f>[2]Base!EF529</f>
        <v>9.4429999822943757E-5</v>
      </c>
      <c r="Q529" s="154">
        <f>[2]Base!EH529</f>
        <v>0.10784016229779969</v>
      </c>
      <c r="R529" s="154">
        <f>[2]Base!EJ529</f>
        <v>6.8098121747316026E-2</v>
      </c>
      <c r="S529" s="155">
        <f>[2]Base!EL529</f>
        <v>0.8239672859550613</v>
      </c>
      <c r="T529" s="135"/>
    </row>
    <row r="530" spans="2:20" ht="12.75" customHeight="1" thickTop="1" thickBot="1" x14ac:dyDescent="0.3">
      <c r="B530" s="146" t="str">
        <f>[2]Base!A530</f>
        <v>CAIXA SEGURIDADE</v>
      </c>
      <c r="C530" s="147" t="str">
        <f>[2]Base!C530</f>
        <v>NM</v>
      </c>
      <c r="D530" s="147" t="str">
        <f>[2]Base!EQ530</f>
        <v>Seguradoras</v>
      </c>
      <c r="E530" s="147" t="str">
        <f>[2]Base!M530</f>
        <v xml:space="preserve">Itaú BBA Assessoria Financeira S.A. </v>
      </c>
      <c r="F530" s="147" t="str">
        <f>[2]Base!F530</f>
        <v>FOLLOW-ON</v>
      </c>
      <c r="G530" s="147" t="s">
        <v>29</v>
      </c>
      <c r="H530" s="148">
        <f>[2]Base!X530</f>
        <v>45735</v>
      </c>
      <c r="I530" s="149">
        <f>[2]Base!W530</f>
        <v>14.75</v>
      </c>
      <c r="J530" s="150">
        <f>[2]Base!J530</f>
        <v>45737</v>
      </c>
      <c r="K530" s="151">
        <f>[2]Base!BL530</f>
        <v>5479</v>
      </c>
      <c r="L530" s="151">
        <f>[2]Base!DZ530</f>
        <v>5726</v>
      </c>
      <c r="M530" s="152">
        <f>[2]Base!AO530</f>
        <v>0</v>
      </c>
      <c r="N530" s="152">
        <f>[2]Base!AP530</f>
        <v>1215118171.75</v>
      </c>
      <c r="O530" s="153">
        <f>[2]Base!AQ530</f>
        <v>1215118171.75</v>
      </c>
      <c r="P530" s="154">
        <f>[2]Base!EF530</f>
        <v>7.8354758790973533E-2</v>
      </c>
      <c r="Q530" s="154">
        <f>[2]Base!EH530</f>
        <v>0.63057635221312791</v>
      </c>
      <c r="R530" s="154">
        <f>[2]Base!EJ530</f>
        <v>0.28348217832501527</v>
      </c>
      <c r="S530" s="155">
        <f>[2]Base!EL530</f>
        <v>7.5867106708833567E-3</v>
      </c>
      <c r="T530" s="135"/>
    </row>
    <row r="531" spans="2:20" ht="12.75" customHeight="1" thickTop="1" thickBot="1" x14ac:dyDescent="0.3">
      <c r="B531" s="146" t="str">
        <f>[2]Base!A531</f>
        <v>AZUL</v>
      </c>
      <c r="C531" s="147" t="str">
        <f>[2]Base!C531</f>
        <v>N2</v>
      </c>
      <c r="D531" s="147" t="str">
        <f>[2]Base!EQ531</f>
        <v>Linhas Aéreas de Passageiros</v>
      </c>
      <c r="E531" s="147" t="str">
        <f>[2]Base!M531</f>
        <v>UBS BB Corretora de Câmbio, Títulos e Valores Mobiliários S.A</v>
      </c>
      <c r="F531" s="147" t="str">
        <f>[2]Base!F531</f>
        <v>FOLLOW-ON</v>
      </c>
      <c r="G531" s="147" t="s">
        <v>29</v>
      </c>
      <c r="H531" s="148">
        <f>[2]Base!X531</f>
        <v>45761</v>
      </c>
      <c r="I531" s="149">
        <f>[2]Base!W531</f>
        <v>3.58</v>
      </c>
      <c r="J531" s="150">
        <f>[2]Base!J531</f>
        <v>45772</v>
      </c>
      <c r="K531" s="151">
        <f>[2]Base!BL531</f>
        <v>68</v>
      </c>
      <c r="L531" s="151">
        <f>[2]Base!DZ531</f>
        <v>91</v>
      </c>
      <c r="M531" s="152">
        <f>[2]Base!AO531</f>
        <v>1661441659.4200001</v>
      </c>
      <c r="N531" s="152">
        <f>[2]Base!AP531</f>
        <v>0</v>
      </c>
      <c r="O531" s="153">
        <f>[2]Base!AQ531</f>
        <v>1661441659.4200001</v>
      </c>
      <c r="P531" s="154">
        <f>[2]Base!EF531</f>
        <v>1.4611610261701714E-3</v>
      </c>
      <c r="Q531" s="154">
        <f>[2]Base!EH531</f>
        <v>2.7329912574752306E-2</v>
      </c>
      <c r="R531" s="154">
        <f>[2]Base!EJ531</f>
        <v>1.9315225315346208E-5</v>
      </c>
      <c r="S531" s="155">
        <f>[2]Base!EL531</f>
        <v>0.97118961117376212</v>
      </c>
      <c r="T531" s="135"/>
    </row>
    <row r="532" spans="2:20" ht="12.75" customHeight="1" thickTop="1" thickBot="1" x14ac:dyDescent="0.3">
      <c r="B532" s="146" t="s">
        <v>169</v>
      </c>
      <c r="C532" s="147" t="str">
        <f>[2]Base!C532</f>
        <v>NM</v>
      </c>
      <c r="D532" s="147" t="str">
        <f>[2]Base!EQ532</f>
        <v>Água e Saneamento</v>
      </c>
      <c r="E532" s="147" t="str">
        <f>[2]Base!M532</f>
        <v>BTG Pactual Serviços Financeiros S.A DTVM</v>
      </c>
      <c r="F532" s="147" t="str">
        <f>[2]Base!F532</f>
        <v>FOLLOW-ON</v>
      </c>
      <c r="G532" s="147" t="s">
        <v>29</v>
      </c>
      <c r="H532" s="148">
        <v>45786</v>
      </c>
      <c r="I532" s="272">
        <v>48.2</v>
      </c>
      <c r="J532" s="273">
        <v>45803</v>
      </c>
      <c r="K532" s="151">
        <f>[2]Base!BL532</f>
        <v>70</v>
      </c>
      <c r="L532" s="151">
        <f>[2]Base!DZ532</f>
        <v>162</v>
      </c>
      <c r="M532" s="152">
        <f>[2]Base!AO532</f>
        <v>635082332.4000001</v>
      </c>
      <c r="N532" s="152">
        <f>[2]Base!AP532</f>
        <v>0</v>
      </c>
      <c r="O532" s="153">
        <f>[2]Base!AQ532</f>
        <v>635082332.4000001</v>
      </c>
      <c r="P532" s="154">
        <f>[2]Base!EF532</f>
        <v>2.9066524225670617E-3</v>
      </c>
      <c r="Q532" s="154">
        <f>[2]Base!EH532</f>
        <v>0.23596677651806142</v>
      </c>
      <c r="R532" s="154">
        <f>[2]Base!EJ532</f>
        <v>0.12669325140243815</v>
      </c>
      <c r="S532" s="155">
        <f>[2]Base!EL532</f>
        <v>0.63443331965693328</v>
      </c>
      <c r="T532" s="135"/>
    </row>
    <row r="533" spans="2:20" ht="12.6" customHeight="1" thickTop="1" thickBot="1" x14ac:dyDescent="0.3">
      <c r="B533" s="146" t="str">
        <f>[2]Base!A533</f>
        <v>MELIUZ</v>
      </c>
      <c r="C533" s="147" t="str">
        <f>[2]Base!C533</f>
        <v>NM</v>
      </c>
      <c r="D533" s="147" t="str">
        <f>[2]Base!EQ533</f>
        <v>Programas e Serviços</v>
      </c>
      <c r="E533" s="147" t="str">
        <f>[2]Base!M533</f>
        <v>BTG Pactual Investment Banking Ltda</v>
      </c>
      <c r="F533" s="147" t="str">
        <f>[2]Base!F533</f>
        <v>FOLLOW-ON</v>
      </c>
      <c r="G533" s="147" t="s">
        <v>29</v>
      </c>
      <c r="H533" s="148">
        <v>45820</v>
      </c>
      <c r="I533" s="272">
        <v>7.06</v>
      </c>
      <c r="J533" s="273">
        <v>45824</v>
      </c>
      <c r="K533" s="151">
        <f>[2]Base!BL533</f>
        <v>132</v>
      </c>
      <c r="L533" s="151">
        <f>[2]Base!DZ533</f>
        <v>239</v>
      </c>
      <c r="M533" s="152">
        <f>[2]Base!AO533</f>
        <v>180078029.17999998</v>
      </c>
      <c r="N533" s="152">
        <f>[2]Base!AP533</f>
        <v>0</v>
      </c>
      <c r="O533" s="153">
        <f>[2]Base!AQ533</f>
        <v>180078029.17999998</v>
      </c>
      <c r="P533" s="154">
        <f>[2]Base!EF533</f>
        <v>4.3041732827120677E-2</v>
      </c>
      <c r="Q533" s="154">
        <f>[2]Base!EH533</f>
        <v>0.75640486971260179</v>
      </c>
      <c r="R533" s="154">
        <f>[2]Base!EJ533</f>
        <v>0.17155148765605788</v>
      </c>
      <c r="S533" s="155">
        <f>[2]Base!EL533</f>
        <v>2.9001909804219683E-2</v>
      </c>
      <c r="T533" s="135"/>
    </row>
    <row r="534" spans="2:20" ht="13.95" customHeight="1" thickTop="1" thickBot="1" x14ac:dyDescent="0.3">
      <c r="B534" s="146" t="str">
        <f>[2]Base!A534</f>
        <v>FRAS-LE</v>
      </c>
      <c r="C534" s="147" t="str">
        <f>[2]Base!C534</f>
        <v>N1</v>
      </c>
      <c r="D534" s="147" t="str">
        <f>[2]Base!EQ534</f>
        <v>Material Rodoviário</v>
      </c>
      <c r="E534" s="147" t="str">
        <f>[2]Base!M534</f>
        <v>BTG Pactual Investment Banking Ltda.</v>
      </c>
      <c r="F534" s="147" t="str">
        <f>[2]Base!F534</f>
        <v>FOLLOW-ON</v>
      </c>
      <c r="G534" s="147" t="s">
        <v>29</v>
      </c>
      <c r="H534" s="148">
        <v>45821</v>
      </c>
      <c r="I534" s="272">
        <v>8.06</v>
      </c>
      <c r="J534" s="273">
        <v>45825</v>
      </c>
      <c r="K534" s="151">
        <f>[2]Base!BL534</f>
        <v>50</v>
      </c>
      <c r="L534" s="151">
        <f>[2]Base!DZ534</f>
        <v>204</v>
      </c>
      <c r="M534" s="152">
        <f>[2]Base!AO534</f>
        <v>247649952</v>
      </c>
      <c r="N534" s="152">
        <f>[2]Base!AP534</f>
        <v>152350056</v>
      </c>
      <c r="O534" s="153">
        <f>[2]Base!AQ534</f>
        <v>400000008</v>
      </c>
      <c r="P534" s="154">
        <f>[2]Base!EF534</f>
        <v>1.0424279791514404E-2</v>
      </c>
      <c r="Q534" s="154">
        <f>[2]Base!EH534</f>
        <v>0.72896752542064946</v>
      </c>
      <c r="R534" s="154">
        <f>[2]Base!EJ534</f>
        <v>0.2605837147883257</v>
      </c>
      <c r="S534" s="155">
        <f>[2]Base!EL534</f>
        <v>2.4479999510400011E-5</v>
      </c>
      <c r="T534" s="135"/>
    </row>
    <row r="535" spans="2:20" thickTop="1" thickBot="1" x14ac:dyDescent="0.3">
      <c r="B535" s="146" t="str">
        <f>[2]Base!A535</f>
        <v>GAFISA</v>
      </c>
      <c r="C535" s="147" t="str">
        <f>[2]Base!C535</f>
        <v>NM</v>
      </c>
      <c r="D535" s="147" t="str">
        <f>[2]Base!EQ535</f>
        <v>Incorporações</v>
      </c>
      <c r="E535" s="147" t="str">
        <f>[2]Base!M535</f>
        <v>Planner Corretora de Valores S/A</v>
      </c>
      <c r="F535" s="147" t="str">
        <f>[2]Base!F535</f>
        <v>FOLLOW-ON</v>
      </c>
      <c r="G535" s="147" t="s">
        <v>29</v>
      </c>
      <c r="H535" s="148">
        <f>[2]Base!X535</f>
        <v>45852</v>
      </c>
      <c r="I535" s="149">
        <f>[2]Base!W535</f>
        <v>20</v>
      </c>
      <c r="J535" s="150">
        <f>[2]Base!J535</f>
        <v>45873</v>
      </c>
      <c r="K535" s="151">
        <f>[2]Base!BL535</f>
        <v>37</v>
      </c>
      <c r="L535" s="151">
        <f>[2]Base!DZ535</f>
        <v>48</v>
      </c>
      <c r="M535" s="152">
        <f>[2]Base!AO535</f>
        <v>88668720</v>
      </c>
      <c r="N535" s="152">
        <f>[2]Base!AP535</f>
        <v>0</v>
      </c>
      <c r="O535" s="153">
        <f>[2]Base!AQ535</f>
        <v>88668720</v>
      </c>
      <c r="P535" s="154">
        <f>[2]Base!EF535</f>
        <v>0.10071691572856808</v>
      </c>
      <c r="Q535" s="154">
        <f>[2]Base!EH535</f>
        <v>0.59838463891212146</v>
      </c>
      <c r="R535" s="154">
        <f>[2]Base!EJ535</f>
        <v>0.25351397877402537</v>
      </c>
      <c r="S535" s="155">
        <f>[2]Base!EL535</f>
        <v>4.7384466585285091E-2</v>
      </c>
      <c r="T535" s="135"/>
    </row>
    <row r="536" spans="2:20" thickTop="1" thickBot="1" x14ac:dyDescent="0.3">
      <c r="B536" s="146" t="str">
        <f>[2]Base!A536</f>
        <v>PAGUE MENOS</v>
      </c>
      <c r="C536" s="147" t="str">
        <f>[2]Base!C536</f>
        <v>NM</v>
      </c>
      <c r="D536" s="147" t="str">
        <f>[2]Base!EQ536</f>
        <v>Medicamentos e Outros Produtos</v>
      </c>
      <c r="E536" s="147" t="str">
        <f>[2]Base!M536</f>
        <v xml:space="preserve">TAÚ BBA ASSESSORIA 
FINANCEIRA S.A. </v>
      </c>
      <c r="F536" s="147" t="str">
        <f>[2]Base!F536</f>
        <v>FOLLOW-ON</v>
      </c>
      <c r="G536" s="147" t="s">
        <v>29</v>
      </c>
      <c r="H536" s="148">
        <f>[2]Base!X536</f>
        <v>45932</v>
      </c>
      <c r="I536" s="149">
        <f>[2]Base!W536</f>
        <v>3.5</v>
      </c>
      <c r="J536" s="150">
        <f>[2]Base!J536</f>
        <v>45932</v>
      </c>
      <c r="K536" s="151">
        <f>[2]Base!BL536</f>
        <v>56</v>
      </c>
      <c r="L536" s="151">
        <f>[2]Base!DZ536</f>
        <v>256</v>
      </c>
      <c r="M536" s="152">
        <f>[2]Base!AO536</f>
        <v>140000000</v>
      </c>
      <c r="N536" s="152">
        <f>[2]Base!AP536</f>
        <v>103478263</v>
      </c>
      <c r="O536" s="153">
        <f>[2]Base!AQ536</f>
        <v>243478263</v>
      </c>
      <c r="P536" s="154">
        <f>[2]Base!EF536</f>
        <v>4.5057574605746218E-3</v>
      </c>
      <c r="Q536" s="154">
        <f>[2]Base!EH536</f>
        <v>0.75745873462223612</v>
      </c>
      <c r="R536" s="154">
        <f>[2]Base!EJ536</f>
        <v>0.38797617223020847</v>
      </c>
      <c r="S536" s="155">
        <f>[2]Base!EL536</f>
        <v>5.9325624480900786E-5</v>
      </c>
      <c r="T536" s="135"/>
    </row>
    <row r="537" spans="2:20" thickTop="1" thickBot="1" x14ac:dyDescent="0.3">
      <c r="B537" s="146" t="str">
        <f>[2]Base!A537</f>
        <v>COSAN</v>
      </c>
      <c r="C537" s="147" t="str">
        <f>[2]Base!C537</f>
        <v>NM</v>
      </c>
      <c r="D537" s="147" t="str">
        <f>[2]Base!EQ537</f>
        <v>Exploração, Refino e Distribuição</v>
      </c>
      <c r="E537" s="147" t="str">
        <f>[2]Base!M537</f>
        <v>BTG PACTUAL INVESTMENT BANKING LTDA.</v>
      </c>
      <c r="F537" s="147" t="str">
        <f>[2]Base!F537</f>
        <v>FOLLOW-ON</v>
      </c>
      <c r="G537" s="147" t="s">
        <v>29</v>
      </c>
      <c r="H537" s="148">
        <f>[2]Base!X537</f>
        <v>45964</v>
      </c>
      <c r="I537" s="149">
        <f>[2]Base!W537</f>
        <v>5</v>
      </c>
      <c r="J537" s="150">
        <f>[2]Base!J537</f>
        <v>45966</v>
      </c>
      <c r="K537" s="151">
        <f>[2]Base!BL537</f>
        <v>2719</v>
      </c>
      <c r="L537" s="151">
        <f>[2]Base!DZ537</f>
        <v>3042</v>
      </c>
      <c r="M537" s="152">
        <f>[2]Base!AO537</f>
        <v>9062500000</v>
      </c>
      <c r="N537" s="152">
        <f>[2]Base!AP537</f>
        <v>0</v>
      </c>
      <c r="O537" s="153">
        <f>[2]Base!AQ537</f>
        <v>9062500000</v>
      </c>
      <c r="P537" s="154">
        <f>[2]Base!EF537</f>
        <v>0.10004135172413793</v>
      </c>
      <c r="Q537" s="154">
        <f>[2]Base!EH537</f>
        <v>6.4747669517241382E-2</v>
      </c>
      <c r="R537" s="154">
        <f>[2]Base!EJ537</f>
        <v>1.6603673931034481E-2</v>
      </c>
      <c r="S537" s="155">
        <f>[2]Base!EL537</f>
        <v>0.81860730482758626</v>
      </c>
      <c r="T537" s="135"/>
    </row>
    <row r="538" spans="2:20" thickTop="1" thickBot="1" x14ac:dyDescent="0.3">
      <c r="B538" s="146" t="str">
        <f>[2]Base!A538</f>
        <v>COSAN</v>
      </c>
      <c r="C538" s="147" t="str">
        <f>[2]Base!C538</f>
        <v>NM</v>
      </c>
      <c r="D538" s="147" t="str">
        <f>[2]Base!EQ538</f>
        <v>Exploração, Refino e Distribuição</v>
      </c>
      <c r="E538" s="147" t="str">
        <f>[2]Base!M538</f>
        <v>BTG Pactual Investment Banking Ltda</v>
      </c>
      <c r="F538" s="147" t="str">
        <f>[2]Base!F538</f>
        <v>FOLLOW-ON</v>
      </c>
      <c r="G538" s="147" t="s">
        <v>29</v>
      </c>
      <c r="H538" s="148">
        <f>[2]Base!X538</f>
        <v>45964</v>
      </c>
      <c r="I538" s="149">
        <f>[2]Base!W538</f>
        <v>5</v>
      </c>
      <c r="J538" s="150">
        <f>[2]Base!J538</f>
        <v>45974</v>
      </c>
      <c r="K538" s="151">
        <f>[2]Base!BL538</f>
        <v>4730</v>
      </c>
      <c r="L538" s="151">
        <f>[2]Base!DZ538</f>
        <v>6030</v>
      </c>
      <c r="M538" s="152">
        <f>[2]Base!AO538</f>
        <v>1437500000</v>
      </c>
      <c r="N538" s="152">
        <f>[2]Base!AP538</f>
        <v>0</v>
      </c>
      <c r="O538" s="153">
        <f>[2]Base!AQ538</f>
        <v>1437500000</v>
      </c>
      <c r="P538" s="154">
        <f>[2]Base!EF538</f>
        <v>6.87316347826087E-2</v>
      </c>
      <c r="Q538" s="154">
        <f>[2]Base!EH538</f>
        <v>0.50568587478260874</v>
      </c>
      <c r="R538" s="154">
        <f>[2]Base!EJ538</f>
        <v>0.18222044173913043</v>
      </c>
      <c r="S538" s="155">
        <f>[2]Base!EL538</f>
        <v>0.24336204869565217</v>
      </c>
      <c r="T538" s="135"/>
    </row>
    <row r="539" spans="2:20" thickTop="1" thickBot="1" x14ac:dyDescent="0.3">
      <c r="B539" s="146" t="str">
        <f>[2]Base!A539</f>
        <v>CURY S/A</v>
      </c>
      <c r="C539" s="147" t="str">
        <f>[2]Base!C539</f>
        <v>NM</v>
      </c>
      <c r="D539" s="147" t="str">
        <f>[2]Base!EQ539</f>
        <v>Incorporações</v>
      </c>
      <c r="E539" s="147" t="str">
        <f>[2]Base!M539</f>
        <v>e Itaú BBA Assessoria Financeira S.A.</v>
      </c>
      <c r="F539" s="147" t="str">
        <f>[2]Base!F539</f>
        <v>FOLLOW-ON</v>
      </c>
      <c r="G539" s="147" t="s">
        <v>29</v>
      </c>
      <c r="H539" s="148">
        <f>[2]Base!X539</f>
        <v>46002</v>
      </c>
      <c r="I539" s="149">
        <f>[2]Base!W539</f>
        <v>35.5</v>
      </c>
      <c r="J539" s="150">
        <f>[2]Base!J539</f>
        <v>46006</v>
      </c>
      <c r="K539" s="151">
        <f>[2]Base!BL539</f>
        <v>25</v>
      </c>
      <c r="L539" s="151">
        <f>[2]Base!DZ539</f>
        <v>397</v>
      </c>
      <c r="M539" s="152">
        <f>[2]Base!AO539</f>
        <v>574123963</v>
      </c>
      <c r="N539" s="152">
        <f>[2]Base!AP539</f>
        <v>0</v>
      </c>
      <c r="O539" s="153">
        <f>[2]Base!AQ539</f>
        <v>574123963</v>
      </c>
      <c r="P539" s="154">
        <f>[2]Base!EF539</f>
        <v>5.3609502448167282E-5</v>
      </c>
      <c r="Q539" s="154">
        <f>[2]Base!EH539</f>
        <v>0.55777978997194377</v>
      </c>
      <c r="R539" s="154">
        <f>[2]Base!EJ539</f>
        <v>0.44126519415111054</v>
      </c>
      <c r="S539" s="155">
        <f>[2]Base!EL539</f>
        <v>9.0140637449755774E-4</v>
      </c>
      <c r="T539" s="135"/>
    </row>
    <row r="540" spans="2:20" ht="16.05" customHeight="1" thickTop="1" thickBot="1" x14ac:dyDescent="0.3">
      <c r="B540" s="146" t="str">
        <f>[2]Base!A540</f>
        <v>AZUL</v>
      </c>
      <c r="C540" s="147" t="str">
        <f>[2]Base!C540</f>
        <v>N2</v>
      </c>
      <c r="D540" s="147" t="str">
        <f>[2]Base!EQ540</f>
        <v>Linhas Aéreas de Passageiros</v>
      </c>
      <c r="E540" s="147" t="str">
        <f>[2]Base!M540</f>
        <v>UBS BB CORRETORA DE CÂMBIO, TÍTULOS E VALORES MOBILIÁRIOS S.A.</v>
      </c>
      <c r="F540" s="147" t="str">
        <f>[2]Base!F540</f>
        <v>FOLLOW-ON</v>
      </c>
      <c r="G540" s="147" t="s">
        <v>29</v>
      </c>
      <c r="H540" s="148">
        <f>[2]Base!X540</f>
        <v>46013</v>
      </c>
      <c r="I540" s="149">
        <f>[2]Base!W540</f>
        <v>1.3527E-4</v>
      </c>
      <c r="J540" s="150">
        <f>[2]Base!J540</f>
        <v>46030</v>
      </c>
      <c r="K540" s="151">
        <f>[2]Base!BL540</f>
        <v>0</v>
      </c>
      <c r="L540" s="151">
        <f>[2]Base!DZ540</f>
        <v>18</v>
      </c>
      <c r="M540" s="152">
        <f>[2]Base!AO540</f>
        <v>97916723.558518052</v>
      </c>
      <c r="N540" s="152">
        <f>[2]Base!AP540</f>
        <v>0</v>
      </c>
      <c r="O540" s="153">
        <f>[2]Base!AQ540</f>
        <v>97916723.558518052</v>
      </c>
      <c r="P540" s="154">
        <f>[2]Base!EF540</f>
        <v>0</v>
      </c>
      <c r="Q540" s="154">
        <f>[2]Base!EH540</f>
        <v>0</v>
      </c>
      <c r="R540" s="154">
        <f>[2]Base!EJ540</f>
        <v>0</v>
      </c>
      <c r="S540" s="155">
        <f>[2]Base!EL540</f>
        <v>1</v>
      </c>
    </row>
    <row r="541" spans="2:20" ht="16.05" customHeight="1" thickTop="1" thickBot="1" x14ac:dyDescent="0.3">
      <c r="B541" s="146" t="str">
        <f>[2]Base!A541</f>
        <v>AZUL</v>
      </c>
      <c r="C541" s="147" t="str">
        <f>[2]Base!C541</f>
        <v>N2</v>
      </c>
      <c r="D541" s="147" t="str">
        <f>[2]Base!EQ541</f>
        <v>Linhas Aéreas de Passageiros</v>
      </c>
      <c r="E541" s="147" t="str">
        <f>[2]Base!M541</f>
        <v>UBS BB CORRETORA DE CÂMBIO, TÍTULOS E VALORES MOBILIÁRIOS S.A.</v>
      </c>
      <c r="F541" s="147" t="str">
        <f>[2]Base!F541</f>
        <v>FOLLOW-ON</v>
      </c>
      <c r="G541" s="147" t="s">
        <v>29</v>
      </c>
      <c r="H541" s="148">
        <f>[2]Base!X541</f>
        <v>46013</v>
      </c>
      <c r="I541" s="149">
        <f>[2]Base!W541</f>
        <v>1.0145090000000001E-2</v>
      </c>
      <c r="J541" s="150">
        <f>[2]Base!J541</f>
        <v>46030</v>
      </c>
      <c r="K541" s="151">
        <f>[2]Base!BL541</f>
        <v>1584</v>
      </c>
      <c r="L541" s="151">
        <f>[2]Base!DZ541</f>
        <v>2048</v>
      </c>
      <c r="M541" s="152">
        <f>[2]Base!AO541</f>
        <v>7343638449.0743399</v>
      </c>
      <c r="N541" s="152">
        <f>[2]Base!AP541</f>
        <v>0</v>
      </c>
      <c r="O541" s="153">
        <f>[2]Base!AQ541</f>
        <v>7343638449.0743399</v>
      </c>
      <c r="P541" s="154">
        <f>[2]Base!EF541</f>
        <v>6.7481846663824431E-3</v>
      </c>
      <c r="Q541" s="154">
        <f>[2]Base!EH541</f>
        <v>2.3593745154466285E-3</v>
      </c>
      <c r="R541" s="154">
        <f>[2]Base!EJ541</f>
        <v>0</v>
      </c>
      <c r="S541" s="155">
        <f>[2]Base!EL541</f>
        <v>0.99083741646784362</v>
      </c>
    </row>
    <row r="542" spans="2:20" ht="16.05" customHeight="1" thickTop="1" thickBot="1" x14ac:dyDescent="0.3">
      <c r="B542" s="146" t="str">
        <f>[2]Base!A542</f>
        <v>MOURA DUBEUX</v>
      </c>
      <c r="C542" s="147" t="str">
        <f>[2]Base!C542</f>
        <v>NM</v>
      </c>
      <c r="D542" s="147" t="str">
        <f>[2]Base!EQ542</f>
        <v>Incorporações</v>
      </c>
      <c r="E542" s="147" t="str">
        <f>[2]Base!M542</f>
        <v>Itaú BBA Assessoria Financeira S.A.</v>
      </c>
      <c r="F542" s="147" t="str">
        <f>[2]Base!F542</f>
        <v>FOLLOW-ON</v>
      </c>
      <c r="G542" s="147" t="s">
        <v>29</v>
      </c>
      <c r="H542" s="148">
        <f>[2]Base!X542</f>
        <v>46044</v>
      </c>
      <c r="I542" s="149">
        <f>[2]Base!W542</f>
        <v>25</v>
      </c>
      <c r="J542" s="150">
        <f>[2]Base!J542</f>
        <v>46048</v>
      </c>
      <c r="K542" s="151">
        <f>[2]Base!BL542</f>
        <v>137</v>
      </c>
      <c r="L542" s="151">
        <f>[2]Base!DZ542</f>
        <v>382</v>
      </c>
      <c r="M542" s="152">
        <f>[2]Base!AO542</f>
        <v>241312725</v>
      </c>
      <c r="N542" s="152">
        <f>[2]Base!AP542</f>
        <v>0</v>
      </c>
      <c r="O542" s="153">
        <f>[2]Base!AQ542</f>
        <v>241312725</v>
      </c>
      <c r="P542" s="154">
        <f>[2]Base!EF542</f>
        <v>4.0389652038156504E-2</v>
      </c>
      <c r="Q542" s="154">
        <f>[2]Base!EH542</f>
        <v>0.44886192549201842</v>
      </c>
      <c r="R542" s="154">
        <f>[2]Base!EJ542</f>
        <v>0.32673757016245358</v>
      </c>
      <c r="S542" s="155">
        <f>[2]Base!EL542</f>
        <v>0.18401085230737146</v>
      </c>
    </row>
    <row r="543" spans="2:20" thickTop="1" thickBot="1" x14ac:dyDescent="0.3">
      <c r="B543" s="146" t="str">
        <f>[2]Base!A543</f>
        <v>AZUL</v>
      </c>
      <c r="C543" s="147" t="str">
        <f>[2]Base!C543</f>
        <v>N2</v>
      </c>
      <c r="D543" s="147" t="str">
        <f>[2]Base!EQ543</f>
        <v>Linhas Aéreas de Passageiros</v>
      </c>
      <c r="E543" s="147" t="str">
        <f>[2]Base!M543</f>
        <v xml:space="preserve">UBS BB CORRETORA DE CÂMBIO, TÍTULOS E
VALORES MOBILIÁRIOS S.A. </v>
      </c>
      <c r="F543" s="147" t="str">
        <f>[2]Base!F543</f>
        <v>FOLLOW-ON</v>
      </c>
      <c r="G543" s="147" t="s">
        <v>29</v>
      </c>
      <c r="H543" s="148">
        <f>[2]Base!X543</f>
        <v>46071</v>
      </c>
      <c r="I543" s="149">
        <f>[2]Base!W543</f>
        <v>1.09656646388772E-4</v>
      </c>
      <c r="J543" s="150">
        <f>[2]Base!J543</f>
        <v>46076</v>
      </c>
      <c r="K543" s="151">
        <f>[2]Base!BL543</f>
        <v>648</v>
      </c>
      <c r="L543" s="151">
        <f>[2]Base!DZ543</f>
        <v>774</v>
      </c>
      <c r="M543" s="152">
        <f>[2]Base!AO543</f>
        <v>4986932910.065361</v>
      </c>
      <c r="N543" s="152">
        <f>[2]Base!AP543</f>
        <v>0</v>
      </c>
      <c r="O543" s="153">
        <f>[2]Base!AQ543</f>
        <v>4986932910.065361</v>
      </c>
      <c r="P543" s="154">
        <f>[2]Base!EF543</f>
        <v>6.6526743278907188E-3</v>
      </c>
      <c r="Q543" s="154">
        <f>[2]Base!EH543</f>
        <v>1.1733442716790857E-3</v>
      </c>
      <c r="R543" s="154">
        <f>[2]Base!EJ543</f>
        <v>0</v>
      </c>
      <c r="S543" s="155">
        <f>[2]Base!EL543</f>
        <v>0.99217398140043034</v>
      </c>
    </row>
    <row r="544" spans="2:20" ht="15" thickTop="1" x14ac:dyDescent="0.3"/>
  </sheetData>
  <autoFilter ref="A3:X471" xr:uid="{00000000-0001-0000-0200-000000000000}"/>
  <mergeCells count="5">
    <mergeCell ref="B2:D2"/>
    <mergeCell ref="F2:J2"/>
    <mergeCell ref="K2:O2"/>
    <mergeCell ref="P2:S2"/>
    <mergeCell ref="U2:X2"/>
  </mergeCells>
  <dataValidations count="5">
    <dataValidation allowBlank="1" showInputMessage="1" showErrorMessage="1" prompt="Os coordenadores indicados constaram nos documentos oficiais da oferta à época da oferta" sqref="E3" xr:uid="{75CFEC8E-B881-4BC6-A360-582B3CED00C4}"/>
    <dataValidation allowBlank="1" showInputMessage="1" showErrorMessage="1" promptTitle="Estrangeiros" prompt="Investidores Estrangeiros e Oferta Internacional  _x000a_" sqref="R3" xr:uid="{2A168BCC-7B12-4003-BDD3-95E270BF2A9A}"/>
    <dataValidation allowBlank="1" showInputMessage="1" showErrorMessage="1" promptTitle="Institucional" prompt="Companhias Seguradoras, Entidades de Previdência Privada, Fundos de Investimento e Demais Instituições Financeiras " sqref="Q3" xr:uid="{34970DCA-B4E6-4E24-A8F7-B501F2D95924}"/>
    <dataValidation allowBlank="1" showInputMessage="1" showErrorMessage="1" promptTitle="Varejo" prompt="Pessoas Físicas e Clubes de Investimento " sqref="P3" xr:uid="{18EA7616-BAEB-4CA1-B5AD-E5C6077A0946}"/>
    <dataValidation allowBlank="1" showInputMessage="1" showErrorMessage="1" promptTitle="Outros" prompt="Acionista controlador, coordenadores da oferta e líder, demais PJs, demais PJs ligadas à Comp., empresas e órgãos públicos, inst. financeiras ligadas à Comp., inst. intermediárias, inst. subcontratadas, joint bookrunners" sqref="S3" xr:uid="{9253BC59-A5D7-4AB6-8A0A-BD4F6BD82CFD}"/>
  </dataValidations>
  <pageMargins left="0.78740157480314965" right="0.78740157480314965" top="0.98425196850393704" bottom="0.98425196850393704" header="0.51181102362204722" footer="0.51181102362204722"/>
  <pageSetup scale="50" orientation="portrait" r:id="rId1"/>
  <headerFooter alignWithMargins="0">
    <oddFooter>&amp;C&amp;1#&amp;"Calibri"&amp;10&amp;K000000INFORMAÇÃO CONFIDENCIAL – CONFIDENTIAL INFORMATION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5CAA-4875-4FD8-96A0-89FC59243256}">
  <dimension ref="A1:FS545"/>
  <sheetViews>
    <sheetView showGridLines="0" zoomScaleNormal="90" workbookViewId="0">
      <pane xSplit="2" ySplit="3" topLeftCell="J522" activePane="bottomRight" state="frozen"/>
      <selection activeCell="FO539" sqref="FO539"/>
      <selection pane="topRight" activeCell="FO539" sqref="FO539"/>
      <selection pane="bottomLeft" activeCell="FO539" sqref="FO539"/>
      <selection pane="bottomRight" activeCell="L548" sqref="L548"/>
    </sheetView>
  </sheetViews>
  <sheetFormatPr defaultColWidth="9.21875" defaultRowHeight="14.4" x14ac:dyDescent="0.3"/>
  <cols>
    <col min="1" max="1" width="3.77734375" style="1" customWidth="1"/>
    <col min="2" max="2" width="22.77734375" style="1" customWidth="1"/>
    <col min="3" max="3" width="21.77734375" style="2" customWidth="1"/>
    <col min="4" max="4" width="48.44140625" style="2" customWidth="1"/>
    <col min="5" max="5" width="75.77734375" style="2" bestFit="1" customWidth="1"/>
    <col min="6" max="6" width="21.21875" style="2" bestFit="1" customWidth="1"/>
    <col min="7" max="7" width="31.77734375" style="2" bestFit="1" customWidth="1"/>
    <col min="8" max="9" width="19.77734375" style="2" customWidth="1"/>
    <col min="10" max="10" width="16" style="3" customWidth="1"/>
    <col min="11" max="11" width="16.21875" style="3" customWidth="1"/>
    <col min="12" max="12" width="16" style="4" customWidth="1"/>
    <col min="13" max="13" width="16.77734375" style="4" bestFit="1" customWidth="1"/>
    <col min="14" max="14" width="17.44140625" style="4" customWidth="1"/>
    <col min="15" max="16" width="18.44140625" style="4" customWidth="1"/>
    <col min="17" max="17" width="15.77734375" style="5" customWidth="1"/>
    <col min="18" max="18" width="18.44140625" style="5" customWidth="1"/>
    <col min="19" max="19" width="19" style="5" customWidth="1"/>
    <col min="20" max="20" width="16.44140625" style="5" customWidth="1"/>
    <col min="21" max="21" width="16.44140625" style="5" hidden="1" customWidth="1"/>
    <col min="22" max="22" width="0" style="1" hidden="1" customWidth="1"/>
    <col min="23" max="25" width="18.77734375" style="1" hidden="1" customWidth="1"/>
    <col min="26" max="26" width="9.21875" style="1"/>
    <col min="27" max="27" width="15" style="1" bestFit="1" customWidth="1"/>
    <col min="28" max="46" width="9.21875" style="1"/>
    <col min="47" max="47" width="13.77734375" style="1" bestFit="1" customWidth="1"/>
    <col min="48" max="16384" width="9.21875" style="1"/>
  </cols>
  <sheetData>
    <row r="1" spans="2:47" ht="15" thickBot="1" x14ac:dyDescent="0.35"/>
    <row r="2" spans="2:47" ht="15" thickTop="1" x14ac:dyDescent="0.3">
      <c r="B2" s="279" t="s">
        <v>30</v>
      </c>
      <c r="C2" s="280"/>
      <c r="D2" s="281"/>
      <c r="E2" s="7"/>
      <c r="F2" s="282" t="s">
        <v>31</v>
      </c>
      <c r="G2" s="282"/>
      <c r="H2" s="282"/>
      <c r="I2" s="282"/>
      <c r="J2" s="282"/>
      <c r="K2" s="283" t="s">
        <v>32</v>
      </c>
      <c r="L2" s="284"/>
      <c r="M2" s="284"/>
      <c r="N2" s="284"/>
      <c r="O2" s="284"/>
      <c r="P2" s="285"/>
      <c r="Q2" s="283" t="s">
        <v>33</v>
      </c>
      <c r="R2" s="284"/>
      <c r="S2" s="284"/>
      <c r="T2" s="289"/>
      <c r="V2" s="288" t="s">
        <v>34</v>
      </c>
      <c r="W2" s="288"/>
      <c r="X2" s="288"/>
      <c r="Y2" s="288"/>
      <c r="AU2" s="1" t="s">
        <v>173</v>
      </c>
    </row>
    <row r="3" spans="2:47" s="17" customFormat="1" ht="43.5" customHeight="1" x14ac:dyDescent="0.3">
      <c r="B3" s="8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 t="s">
        <v>10</v>
      </c>
      <c r="H3" s="9" t="s">
        <v>40</v>
      </c>
      <c r="I3" s="9" t="s">
        <v>41</v>
      </c>
      <c r="J3" s="10" t="s">
        <v>42</v>
      </c>
      <c r="K3" s="10" t="s">
        <v>43</v>
      </c>
      <c r="L3" s="11" t="s">
        <v>44</v>
      </c>
      <c r="M3" s="11" t="s">
        <v>45</v>
      </c>
      <c r="N3" s="11" t="s">
        <v>46</v>
      </c>
      <c r="O3" s="12" t="s">
        <v>47</v>
      </c>
      <c r="P3" s="12" t="s">
        <v>48</v>
      </c>
      <c r="Q3" s="12" t="s">
        <v>49</v>
      </c>
      <c r="R3" s="14" t="s">
        <v>50</v>
      </c>
      <c r="S3" s="12" t="s">
        <v>51</v>
      </c>
      <c r="T3" s="15" t="s">
        <v>52</v>
      </c>
      <c r="U3" s="5"/>
      <c r="V3" s="16" t="s">
        <v>53</v>
      </c>
      <c r="W3" s="16" t="s">
        <v>23</v>
      </c>
      <c r="X3" s="16" t="s">
        <v>24</v>
      </c>
      <c r="Y3" s="16" t="s">
        <v>25</v>
      </c>
    </row>
    <row r="4" spans="2:47" ht="13.2" x14ac:dyDescent="0.25">
      <c r="B4" s="40" t="str">
        <f>[2]Base!A4</f>
        <v>CCR RODOVIAS</v>
      </c>
      <c r="C4" s="41" t="str">
        <f>[2]Base!C4</f>
        <v>NM</v>
      </c>
      <c r="D4" s="41" t="s">
        <v>54</v>
      </c>
      <c r="E4" s="41" t="str">
        <f>[2]Base!M4</f>
        <v>UBS</v>
      </c>
      <c r="F4" s="41" t="str">
        <f>[2]Base!F4</f>
        <v>FOLLOW-ON</v>
      </c>
      <c r="G4" s="41" t="str">
        <f>[2]Base!G4</f>
        <v>ICVM 400</v>
      </c>
      <c r="H4" s="20">
        <f>[2]Base!X4</f>
        <v>38103</v>
      </c>
      <c r="I4" s="21">
        <f>[2]Base!W4</f>
        <v>23.5</v>
      </c>
      <c r="J4" s="44">
        <f>[2]Base!J4</f>
        <v>38104</v>
      </c>
      <c r="K4" s="23">
        <f>'[1]SITE (Imprensa)_PT'!K4</f>
        <v>1010</v>
      </c>
      <c r="L4" s="45">
        <f>[2]Base!DZ4</f>
        <v>1514</v>
      </c>
      <c r="M4" s="46">
        <f>[2]Base!AO4</f>
        <v>375000004.5</v>
      </c>
      <c r="N4" s="46">
        <f>[2]Base!AP4</f>
        <v>0</v>
      </c>
      <c r="O4" s="46">
        <f>[2]Base!AQ4</f>
        <v>375000004.5</v>
      </c>
      <c r="P4" s="46">
        <f>+[2]Base!ED4</f>
        <v>120003841.56293002</v>
      </c>
      <c r="Q4" s="157">
        <f>'[1]SITE (Imprensa)_PT'!P4</f>
        <v>6.8671824509271437E-2</v>
      </c>
      <c r="R4" s="157">
        <f>'[1]SITE (Imprensa)_PT'!Q4</f>
        <v>0.17572134189134389</v>
      </c>
      <c r="S4" s="157">
        <f>'[1]SITE (Imprensa)_PT'!R4</f>
        <v>0.74824324968774769</v>
      </c>
      <c r="T4" s="158">
        <f>'[1]SITE (Imprensa)_PT'!S4</f>
        <v>7.3635839116369933E-3</v>
      </c>
      <c r="U4" s="6"/>
      <c r="V4" s="28">
        <v>2004</v>
      </c>
      <c r="W4" s="24">
        <f>SUMIFS($O$4:$O$236,$F$4:$F$236,"IPO",$J$4:$J$236,"&gt;=01/01/2004",$J$4:$J$236,"&lt;=31/12/2004")</f>
        <v>4487065024.3099995</v>
      </c>
      <c r="X4" s="24">
        <f>SUMIFS($O$4:$O$236,$F$4:$F$236,"FOLLOW-ON",$J$4:$J$236,"&gt;=01/01/2004",$J$4:$J$236,"&lt;=31/12/2004")</f>
        <v>4317579321.8213902</v>
      </c>
      <c r="Y4" s="29">
        <f>SUMIFS($O$4:$O$236,$J$4:$J$236,"&gt;=01/01/2004",$J$4:$J$236,"&lt;=31/12/2004")</f>
        <v>8804644346.1313896</v>
      </c>
    </row>
    <row r="5" spans="2:47" ht="13.2" x14ac:dyDescent="0.25">
      <c r="B5" s="40" t="str">
        <f>[2]Base!A5</f>
        <v>NATURA</v>
      </c>
      <c r="C5" s="41" t="str">
        <f>[2]Base!C5</f>
        <v>NM</v>
      </c>
      <c r="D5" s="19" t="s">
        <v>55</v>
      </c>
      <c r="E5" s="19" t="str">
        <f>[2]Base!M5</f>
        <v>UBS</v>
      </c>
      <c r="F5" s="19" t="str">
        <f>[2]Base!F5</f>
        <v>IPO</v>
      </c>
      <c r="G5" s="19" t="str">
        <f>[2]Base!G5</f>
        <v>ICVM 400</v>
      </c>
      <c r="H5" s="20">
        <f>[2]Base!X5</f>
        <v>38131</v>
      </c>
      <c r="I5" s="21">
        <f>[2]Base!W5</f>
        <v>36.5</v>
      </c>
      <c r="J5" s="22">
        <f>[2]Base!J5</f>
        <v>38133</v>
      </c>
      <c r="K5" s="23">
        <f>'[1]SITE (Imprensa)_PT'!K5</f>
        <v>4376</v>
      </c>
      <c r="L5" s="23">
        <f>[2]Base!DZ5</f>
        <v>5460</v>
      </c>
      <c r="M5" s="24">
        <f>[2]Base!AO5</f>
        <v>0</v>
      </c>
      <c r="N5" s="24">
        <f>[2]Base!AP5</f>
        <v>768120636.5</v>
      </c>
      <c r="O5" s="24">
        <f>[2]Base!AQ5</f>
        <v>768120636.5</v>
      </c>
      <c r="P5" s="24">
        <f>+[2]Base!ED5</f>
        <v>243230093.88853705</v>
      </c>
      <c r="Q5" s="157">
        <f>'[1]SITE (Imprensa)_PT'!P5</f>
        <v>0.14086611445961328</v>
      </c>
      <c r="R5" s="157">
        <f>'[1]SITE (Imprensa)_PT'!Q5</f>
        <v>0.15132485833167691</v>
      </c>
      <c r="S5" s="157">
        <f>'[1]SITE (Imprensa)_PT'!R5</f>
        <v>0.67230899088075735</v>
      </c>
      <c r="T5" s="158">
        <f>'[1]SITE (Imprensa)_PT'!S5</f>
        <v>3.5500036327952504E-2</v>
      </c>
      <c r="U5" s="6"/>
      <c r="V5" s="28">
        <v>2005</v>
      </c>
      <c r="W5" s="24">
        <f>SUMIFS($O$4:$O$236,$F$4:$F$236,"IPO",$J$4:$J$236,"&gt;=01/01/2005",$J$4:$J$236,"&lt;=31/12/2005")</f>
        <v>5447335659.5</v>
      </c>
      <c r="X5" s="24">
        <f>SUMIFS($O$4:$O$236,$F$4:$F$236,"FOLLOW-ON",$J$4:$J$236,"&gt;=01/01/2005",$J$4:$J$236,"&lt;=31/12/2005")</f>
        <v>8488868795.0285006</v>
      </c>
      <c r="Y5" s="29">
        <f>SUMIFS($O$4:$O$236,$J$4:$J$236,"&gt;=01/01/2005",$J$4:$J$236,"&lt;=31/12/2005")</f>
        <v>13936204454.5285</v>
      </c>
    </row>
    <row r="6" spans="2:47" ht="13.2" x14ac:dyDescent="0.25">
      <c r="B6" s="40" t="str">
        <f>[2]Base!A6</f>
        <v>GOL</v>
      </c>
      <c r="C6" s="41" t="str">
        <f>[2]Base!C6</f>
        <v>N2</v>
      </c>
      <c r="D6" s="19" t="s">
        <v>56</v>
      </c>
      <c r="E6" s="19" t="str">
        <f>[2]Base!M6</f>
        <v>Morgan Stanley</v>
      </c>
      <c r="F6" s="19" t="str">
        <f>[2]Base!F6</f>
        <v>IPO</v>
      </c>
      <c r="G6" s="19" t="str">
        <f>[2]Base!G6</f>
        <v>ICVM 400</v>
      </c>
      <c r="H6" s="20">
        <f>[2]Base!X6</f>
        <v>38161</v>
      </c>
      <c r="I6" s="21">
        <f>[2]Base!W6</f>
        <v>26.57</v>
      </c>
      <c r="J6" s="22">
        <f>[2]Base!J6</f>
        <v>38162</v>
      </c>
      <c r="K6" s="23">
        <f>'[1]SITE (Imprensa)_PT'!K6</f>
        <v>11274</v>
      </c>
      <c r="L6" s="23">
        <f>[2]Base!DZ6</f>
        <v>12380</v>
      </c>
      <c r="M6" s="24">
        <f>[2]Base!AO6</f>
        <v>498187500</v>
      </c>
      <c r="N6" s="24">
        <f>[2]Base!AP6</f>
        <v>379951000</v>
      </c>
      <c r="O6" s="24">
        <f>[2]Base!AQ6</f>
        <v>878138500</v>
      </c>
      <c r="P6" s="24">
        <f>+[2]Base!ED6</f>
        <v>282996616.17789233</v>
      </c>
      <c r="Q6" s="157">
        <f>'[1]SITE (Imprensa)_PT'!P6</f>
        <v>0.10416096822995462</v>
      </c>
      <c r="R6" s="157">
        <f>'[1]SITE (Imprensa)_PT'!Q6</f>
        <v>0.13028732223903178</v>
      </c>
      <c r="S6" s="157">
        <f>'[1]SITE (Imprensa)_PT'!R6</f>
        <v>0.75367177004538577</v>
      </c>
      <c r="T6" s="158">
        <f>'[1]SITE (Imprensa)_PT'!S6</f>
        <v>1.1879939485627837E-2</v>
      </c>
      <c r="U6" s="6"/>
      <c r="V6" s="28">
        <v>2006</v>
      </c>
      <c r="W6" s="24">
        <f>SUMIFS($O$4:$O$236,$F$4:$F$236,"IPO",$J$4:$J$236,"&gt;=01/01/2006",$J$4:$J$236,"&lt;=31/12/2006")</f>
        <v>15373613634.299999</v>
      </c>
      <c r="X6" s="24">
        <f>SUMIFS($O$4:$O$236,$F$4:$F$236,"FOLLOW-ON",$J$4:$J$236,"&gt;=01/01/2006",$J$4:$J$236,"&lt;=31/12/2006")</f>
        <v>15062683257.9795</v>
      </c>
      <c r="Y6" s="29">
        <f>SUMIFS($O$4:$O$236,$J$4:$J$236,"&gt;=01/01/2006",$J$4:$J$236,"&lt;=31/12/2006")</f>
        <v>30436296892.279499</v>
      </c>
    </row>
    <row r="7" spans="2:47" ht="13.2" x14ac:dyDescent="0.25">
      <c r="B7" s="40" t="str">
        <f>[2]Base!A7</f>
        <v>ALL AMER LAT</v>
      </c>
      <c r="C7" s="41" t="str">
        <f>[2]Base!C7</f>
        <v>N2</v>
      </c>
      <c r="D7" s="19" t="s">
        <v>57</v>
      </c>
      <c r="E7" s="19" t="str">
        <f>[2]Base!M7</f>
        <v>Pactual</v>
      </c>
      <c r="F7" s="19" t="str">
        <f>[2]Base!F7</f>
        <v>IPO</v>
      </c>
      <c r="G7" s="19" t="str">
        <f>[2]Base!G7</f>
        <v>ICVM 400</v>
      </c>
      <c r="H7" s="20">
        <f>[2]Base!X7</f>
        <v>38161</v>
      </c>
      <c r="I7" s="21">
        <f>[2]Base!W7</f>
        <v>46.5</v>
      </c>
      <c r="J7" s="22">
        <f>[2]Base!J7</f>
        <v>38163</v>
      </c>
      <c r="K7" s="23">
        <f>'[1]SITE (Imprensa)_PT'!K7</f>
        <v>3275</v>
      </c>
      <c r="L7" s="23">
        <f>[2]Base!DZ7</f>
        <v>4198</v>
      </c>
      <c r="M7" s="24">
        <f>[2]Base!AO7</f>
        <v>267375000</v>
      </c>
      <c r="N7" s="24">
        <f>[2]Base!AP7</f>
        <v>320850000</v>
      </c>
      <c r="O7" s="24">
        <f>[2]Base!AQ7</f>
        <v>588225000</v>
      </c>
      <c r="P7" s="24">
        <f>+[2]Base!ED7</f>
        <v>189164201.18343195</v>
      </c>
      <c r="Q7" s="157">
        <f>'[1]SITE (Imprensa)_PT'!P7</f>
        <v>8.1711383399209483E-2</v>
      </c>
      <c r="R7" s="157">
        <f>'[1]SITE (Imprensa)_PT'!Q7</f>
        <v>0.19502276679841898</v>
      </c>
      <c r="S7" s="157">
        <f>'[1]SITE (Imprensa)_PT'!R7</f>
        <v>0.70870671936758889</v>
      </c>
      <c r="T7" s="158">
        <f>'[1]SITE (Imprensa)_PT'!S7</f>
        <v>1.4559130434782609E-2</v>
      </c>
      <c r="U7" s="6"/>
      <c r="V7" s="28">
        <v>2007</v>
      </c>
      <c r="W7" s="24">
        <f>SUMIFS($O$4:$O$236,$F$4:$F$236,"IPO",$J$4:$J$236,"&gt;=01/01/2007",$J$4:$J$236,"&lt;=31/12/2007")</f>
        <v>55648186084.869995</v>
      </c>
      <c r="X7" s="24">
        <f>SUMIFS($O$4:$O$236,$F$4:$F$236,"FOLLOW-ON",$J$4:$J$236,"&gt;=01/01/2007",$J$4:$J$236,"&lt;=31/12/2007")</f>
        <v>14464732432.85</v>
      </c>
      <c r="Y7" s="29">
        <f>SUMIFS($O$4:$O$236,$J$4:$J$236,"&gt;=01/01/2007",$J$4:$J$236,"&lt;=31/12/2007")</f>
        <v>70112918517.720001</v>
      </c>
    </row>
    <row r="8" spans="2:47" ht="13.2" x14ac:dyDescent="0.25">
      <c r="B8" s="40" t="str">
        <f>[2]Base!A8</f>
        <v>WEG</v>
      </c>
      <c r="C8" s="41" t="str">
        <f>[2]Base!C8</f>
        <v>N1</v>
      </c>
      <c r="D8" s="19" t="s">
        <v>58</v>
      </c>
      <c r="E8" s="19" t="str">
        <f>[2]Base!M8</f>
        <v>Bradesco BBI</v>
      </c>
      <c r="F8" s="19" t="str">
        <f>[2]Base!F8</f>
        <v>FOLLOW-ON</v>
      </c>
      <c r="G8" s="19" t="str">
        <f>[2]Base!G8</f>
        <v>ICVM 400</v>
      </c>
      <c r="H8" s="20">
        <f>[2]Base!X8</f>
        <v>38233</v>
      </c>
      <c r="I8" s="21">
        <f>[2]Base!W8</f>
        <v>7.2</v>
      </c>
      <c r="J8" s="22">
        <f>[2]Base!J8</f>
        <v>38236</v>
      </c>
      <c r="K8" s="23">
        <f>'[1]SITE (Imprensa)_PT'!K8</f>
        <v>5130</v>
      </c>
      <c r="L8" s="23">
        <f>[2]Base!DZ8</f>
        <v>5708</v>
      </c>
      <c r="M8" s="24">
        <f>[2]Base!AO8</f>
        <v>0</v>
      </c>
      <c r="N8" s="24">
        <f>[2]Base!AP8</f>
        <v>319384800</v>
      </c>
      <c r="O8" s="24">
        <f>[2]Base!AQ8</f>
        <v>319384800</v>
      </c>
      <c r="P8" s="24">
        <f>+[2]Base!ED8</f>
        <v>109596046.94255713</v>
      </c>
      <c r="Q8" s="157">
        <f>'[1]SITE (Imprensa)_PT'!P8</f>
        <v>0.30075378164521294</v>
      </c>
      <c r="R8" s="157">
        <f>'[1]SITE (Imprensa)_PT'!Q8</f>
        <v>0.23810974097702833</v>
      </c>
      <c r="S8" s="157">
        <f>'[1]SITE (Imprensa)_PT'!R8</f>
        <v>0.40659325052413264</v>
      </c>
      <c r="T8" s="158">
        <f>'[1]SITE (Imprensa)_PT'!S8</f>
        <v>5.4543226853626101E-2</v>
      </c>
      <c r="U8" s="6"/>
      <c r="V8" s="28">
        <v>2008</v>
      </c>
      <c r="W8" s="24">
        <f>SUMIFS($O$4:$O$236,$F$4:$F$236,"IPO",$J$4:$J$236,"&gt;=01/01/2008",$J$4:$J$236,"&lt;=31/12/2008")</f>
        <v>7494941362</v>
      </c>
      <c r="X8" s="24">
        <f>SUMIFS($O$4:$O$236,$F$4:$F$236,"FOLLOW-ON",$J$4:$J$236,"&gt;=01/01/2008",$J$4:$J$236,"&lt;=31/12/2008")</f>
        <v>26760549835.43</v>
      </c>
      <c r="Y8" s="29">
        <f>SUMIFS($O$4:$O$236,$J$4:$J$236,"&gt;=01/01/2008",$J$4:$J$236,"&lt;=31/12/2008")</f>
        <v>34255491197.43</v>
      </c>
    </row>
    <row r="9" spans="2:47" ht="13.2" x14ac:dyDescent="0.25">
      <c r="B9" s="40" t="str">
        <f>[2]Base!A9</f>
        <v>BRASKEM</v>
      </c>
      <c r="C9" s="41" t="str">
        <f>[2]Base!C9</f>
        <v>N1</v>
      </c>
      <c r="D9" s="19" t="s">
        <v>59</v>
      </c>
      <c r="E9" s="19" t="str">
        <f>[2]Base!M9</f>
        <v>Unibanco</v>
      </c>
      <c r="F9" s="19" t="str">
        <f>[2]Base!F9</f>
        <v>FOLLOW-ON</v>
      </c>
      <c r="G9" s="19" t="str">
        <f>[2]Base!G9</f>
        <v>ICVM 400</v>
      </c>
      <c r="H9" s="20">
        <f>[2]Base!X9</f>
        <v>38252</v>
      </c>
      <c r="I9" s="21">
        <f>[2]Base!W9</f>
        <v>0.09</v>
      </c>
      <c r="J9" s="22">
        <f>[2]Base!J9</f>
        <v>38254</v>
      </c>
      <c r="K9" s="23">
        <f>'[1]SITE (Imprensa)_PT'!K9</f>
        <v>2287</v>
      </c>
      <c r="L9" s="23">
        <f>[2]Base!DZ9</f>
        <v>2737</v>
      </c>
      <c r="M9" s="24">
        <f>[2]Base!AO9</f>
        <v>1210950000</v>
      </c>
      <c r="N9" s="24">
        <f>[2]Base!AP9</f>
        <v>0</v>
      </c>
      <c r="O9" s="24">
        <f>[2]Base!AQ9</f>
        <v>1210950000</v>
      </c>
      <c r="P9" s="24">
        <f>+[2]Base!ED9</f>
        <v>421419871.23716724</v>
      </c>
      <c r="Q9" s="157">
        <f>'[1]SITE (Imprensa)_PT'!P9</f>
        <v>5.2678683013820775E-2</v>
      </c>
      <c r="R9" s="157">
        <f>'[1]SITE (Imprensa)_PT'!Q9</f>
        <v>0.20504084499925693</v>
      </c>
      <c r="S9" s="157">
        <f>'[1]SITE (Imprensa)_PT'!R9</f>
        <v>0.73642744776341207</v>
      </c>
      <c r="T9" s="158">
        <f>'[1]SITE (Imprensa)_PT'!S9</f>
        <v>5.8530242235101801E-3</v>
      </c>
      <c r="U9" s="6"/>
      <c r="V9" s="28">
        <v>2009</v>
      </c>
      <c r="W9" s="24">
        <f>SUMIFS($O$4:$O$236,$F$4:$F$236,"IPO",$J$4:$J$236,"&gt;=01/01/2009",$J$4:$J$236,"&lt;=31/12/2009")</f>
        <v>23831458391</v>
      </c>
      <c r="X9" s="24">
        <f>SUMIFS($O$4:$O$236,$F$4:$F$236,"FOLLOW-ON",$J$4:$J$236,"&gt;=01/01/2009",$J$4:$J$236,"&lt;=31/12/2009")</f>
        <v>22151816326.5</v>
      </c>
      <c r="Y9" s="29">
        <f>SUMIFS($O$4:$O$236,$J$4:$J$236,"&gt;=01/01/2009",$J$4:$J$236,"&lt;=31/12/2009")</f>
        <v>45983274717.5</v>
      </c>
    </row>
    <row r="10" spans="2:47" ht="13.2" x14ac:dyDescent="0.25">
      <c r="B10" s="40" t="str">
        <f>[2]Base!A10</f>
        <v>CPFL ENERGIA</v>
      </c>
      <c r="C10" s="41" t="str">
        <f>[2]Base!C10</f>
        <v>NM</v>
      </c>
      <c r="D10" s="19" t="s">
        <v>60</v>
      </c>
      <c r="E10" s="19" t="str">
        <f>[2]Base!M10</f>
        <v>Merrill Lynch</v>
      </c>
      <c r="F10" s="19" t="str">
        <f>[2]Base!F10</f>
        <v>IPO</v>
      </c>
      <c r="G10" s="19" t="str">
        <f>[2]Base!G10</f>
        <v>ICVM 400</v>
      </c>
      <c r="H10" s="20">
        <f>[2]Base!X10</f>
        <v>38258</v>
      </c>
      <c r="I10" s="21">
        <f>[2]Base!W10</f>
        <v>17.22</v>
      </c>
      <c r="J10" s="22">
        <f>[2]Base!J10</f>
        <v>38259</v>
      </c>
      <c r="K10" s="23">
        <f>'[1]SITE (Imprensa)_PT'!K10</f>
        <v>2661</v>
      </c>
      <c r="L10" s="23">
        <f>[2]Base!DZ10</f>
        <v>3271</v>
      </c>
      <c r="M10" s="24">
        <f>[2]Base!AO10</f>
        <v>684649515.05999994</v>
      </c>
      <c r="N10" s="24">
        <f>[2]Base!AP10</f>
        <v>136312659</v>
      </c>
      <c r="O10" s="24">
        <f>[2]Base!AQ10</f>
        <v>820962174.05999994</v>
      </c>
      <c r="P10" s="24">
        <f>+[2]Base!ED10</f>
        <v>287029639.20704848</v>
      </c>
      <c r="Q10" s="157">
        <f>'[1]SITE (Imprensa)_PT'!P10</f>
        <v>7.2085297337554172E-2</v>
      </c>
      <c r="R10" s="157">
        <f>'[1]SITE (Imprensa)_PT'!Q10</f>
        <v>0.22446591051652037</v>
      </c>
      <c r="S10" s="157">
        <f>'[1]SITE (Imprensa)_PT'!R10</f>
        <v>0.69388879768091083</v>
      </c>
      <c r="T10" s="158">
        <f>'[1]SITE (Imprensa)_PT'!S10</f>
        <v>9.5599944650146575E-3</v>
      </c>
      <c r="U10" s="6"/>
      <c r="V10" s="28">
        <v>2010</v>
      </c>
      <c r="W10" s="24">
        <f>SUMIFS($O$4:$O$236,$F$4:$F$236,"IPO",$J$4:$J$236,"&gt;=01/01/2010",$J$4:$J$236,"&lt;=31/12/2010")</f>
        <v>11193373737.5</v>
      </c>
      <c r="X10" s="24">
        <f>SUMIFS($O$4:$O$236,$F$4:$F$236,"FOLLOW-ON",$J$4:$J$236,"&gt;=01/01/2010",$J$4:$J$236,"&lt;=31/12/2010")</f>
        <v>138047959151.79999</v>
      </c>
      <c r="Y10" s="29">
        <f>SUMIFS($O$4:$O$236,$J$4:$J$236,"&gt;=01/01/2010",$J$4:$J$236,"&lt;=31/12/2010")</f>
        <v>149241332889.29999</v>
      </c>
    </row>
    <row r="11" spans="2:47" ht="13.2" x14ac:dyDescent="0.25">
      <c r="B11" s="40" t="str">
        <f>[2]Base!A11</f>
        <v>GRENDENE</v>
      </c>
      <c r="C11" s="41" t="str">
        <f>[2]Base!C11</f>
        <v>NM</v>
      </c>
      <c r="D11" s="19" t="s">
        <v>61</v>
      </c>
      <c r="E11" s="19" t="str">
        <f>[2]Base!M11</f>
        <v>Pactual</v>
      </c>
      <c r="F11" s="19" t="str">
        <f>[2]Base!F11</f>
        <v>IPO</v>
      </c>
      <c r="G11" s="19" t="str">
        <f>[2]Base!G11</f>
        <v>ICVM 400</v>
      </c>
      <c r="H11" s="20">
        <f>[2]Base!X11</f>
        <v>38287</v>
      </c>
      <c r="I11" s="21">
        <f>[2]Base!W11</f>
        <v>31</v>
      </c>
      <c r="J11" s="22">
        <f>[2]Base!J11</f>
        <v>38289</v>
      </c>
      <c r="K11" s="23">
        <f>'[1]SITE (Imprensa)_PT'!K11</f>
        <v>7745</v>
      </c>
      <c r="L11" s="23">
        <f>[2]Base!DZ11</f>
        <v>8998</v>
      </c>
      <c r="M11" s="24">
        <f>[2]Base!AO11</f>
        <v>0</v>
      </c>
      <c r="N11" s="24">
        <f>[2]Base!AP11</f>
        <v>616900000</v>
      </c>
      <c r="O11" s="24">
        <f>[2]Base!AQ11</f>
        <v>616900000</v>
      </c>
      <c r="P11" s="24">
        <f>+[2]Base!ED11</f>
        <v>215963591.80815682</v>
      </c>
      <c r="Q11" s="157">
        <f>'[1]SITE (Imprensa)_PT'!P11</f>
        <v>0.16245688442211056</v>
      </c>
      <c r="R11" s="157">
        <f>'[1]SITE (Imprensa)_PT'!Q11</f>
        <v>0.18904427135678392</v>
      </c>
      <c r="S11" s="157">
        <f>'[1]SITE (Imprensa)_PT'!R11</f>
        <v>0.63814226130653262</v>
      </c>
      <c r="T11" s="158">
        <f>'[1]SITE (Imprensa)_PT'!S11</f>
        <v>1.0356582914572865E-2</v>
      </c>
      <c r="U11" s="6"/>
      <c r="V11" s="28">
        <v>2011</v>
      </c>
      <c r="W11" s="24">
        <f>SUMIFS($O$4:$O$236,$F$4:$F$236,"IPO",$J$4:$J$236,"&gt;=01/01/2011",$J$4:$J$236,"&lt;=31/12/2011")</f>
        <v>7175095457</v>
      </c>
      <c r="X11" s="24">
        <f>SUMIFS($O$4:$O$236,$F$4:$F$236,"FOLLOW-ON",$J$4:$J$236,"&gt;=01/01/2011",$J$4:$J$236,"&lt;=31/12/2011")</f>
        <v>10814789923.299999</v>
      </c>
      <c r="Y11" s="29">
        <f>SUMIFS($O$4:$O$236,$J$4:$J$236,"&gt;=01/01/2011",$J$4:$J$236,"&lt;=31/12/2011")</f>
        <v>17989885380.299999</v>
      </c>
      <c r="AA11" s="156"/>
    </row>
    <row r="12" spans="2:47" ht="13.2" x14ac:dyDescent="0.25">
      <c r="B12" s="40" t="str">
        <f>[2]Base!A12</f>
        <v>SABESP</v>
      </c>
      <c r="C12" s="41" t="str">
        <f>[2]Base!C12</f>
        <v>NM</v>
      </c>
      <c r="D12" s="19" t="s">
        <v>62</v>
      </c>
      <c r="E12" s="19" t="str">
        <f>[2]Base!M12</f>
        <v>Unibanco</v>
      </c>
      <c r="F12" s="19" t="str">
        <f>[2]Base!F12</f>
        <v>FOLLOW-ON</v>
      </c>
      <c r="G12" s="19" t="str">
        <f>[2]Base!G12</f>
        <v>ICVM 400</v>
      </c>
      <c r="H12" s="20">
        <f>[2]Base!X12</f>
        <v>38288</v>
      </c>
      <c r="I12" s="21">
        <f>[2]Base!W12</f>
        <v>0.11347</v>
      </c>
      <c r="J12" s="22">
        <f>[2]Base!J12</f>
        <v>38289</v>
      </c>
      <c r="K12" s="23">
        <f>'[1]SITE (Imprensa)_PT'!K12</f>
        <v>89</v>
      </c>
      <c r="L12" s="23">
        <f>[2]Base!DZ12</f>
        <v>361</v>
      </c>
      <c r="M12" s="24">
        <f>[2]Base!AO12</f>
        <v>0</v>
      </c>
      <c r="N12" s="24">
        <f>[2]Base!AP12</f>
        <v>687986984.99139011</v>
      </c>
      <c r="O12" s="24">
        <f>[2]Base!AQ12</f>
        <v>687986984.99139011</v>
      </c>
      <c r="P12" s="24">
        <f>+[2]Base!ED12</f>
        <v>251071814.09801841</v>
      </c>
      <c r="Q12" s="157">
        <f>'[1]SITE (Imprensa)_PT'!P12</f>
        <v>1.1300088586105003E-2</v>
      </c>
      <c r="R12" s="157">
        <f>'[1]SITE (Imprensa)_PT'!Q12</f>
        <v>0.17209472464070194</v>
      </c>
      <c r="S12" s="157">
        <f>'[1]SITE (Imprensa)_PT'!R12</f>
        <v>0.81335375308152524</v>
      </c>
      <c r="T12" s="158">
        <f>'[1]SITE (Imprensa)_PT'!S12</f>
        <v>3.251433691667866E-3</v>
      </c>
      <c r="U12" s="6"/>
      <c r="V12" s="28">
        <v>2012</v>
      </c>
      <c r="W12" s="24">
        <f>SUMIFS($O$4:$O$1528,$F$4:$F$1528,"IPO",$J$4:$J$1528,"&gt;=01/01/2012",$J$4:$J$1528,"&lt;=31/12/2012")</f>
        <v>3932950736</v>
      </c>
      <c r="X12" s="24">
        <f>SUMIFS($O$4:$O$1528,$F$4:$F$1528,"FOLLOW-ON",$J$4:$J$1528,"&gt;=01/01/2012",$J$4:$J$1528,"&lt;=31/12/2012")</f>
        <v>9307533492</v>
      </c>
      <c r="Y12" s="29">
        <f>SUMIFS($O$4:$O$1528,$J$4:$J$1528,"&gt;=01/01/2012",$J$4:$J$1528,"&lt;=31/12/2012")</f>
        <v>13240484228</v>
      </c>
    </row>
    <row r="13" spans="2:47" ht="13.2" x14ac:dyDescent="0.25">
      <c r="B13" s="40" t="str">
        <f>[2]Base!A13</f>
        <v>DASA</v>
      </c>
      <c r="C13" s="41" t="str">
        <f>[2]Base!C13</f>
        <v>NM</v>
      </c>
      <c r="D13" s="19" t="s">
        <v>63</v>
      </c>
      <c r="E13" s="19" t="str">
        <f>[2]Base!M13</f>
        <v>UBS</v>
      </c>
      <c r="F13" s="19" t="str">
        <f>[2]Base!F13</f>
        <v>IPO</v>
      </c>
      <c r="G13" s="19" t="str">
        <f>[2]Base!G13</f>
        <v>ICVM 400</v>
      </c>
      <c r="H13" s="20">
        <f>[2]Base!X13</f>
        <v>38308</v>
      </c>
      <c r="I13" s="21">
        <f>[2]Base!W13</f>
        <v>20</v>
      </c>
      <c r="J13" s="22">
        <f>[2]Base!J13</f>
        <v>38310</v>
      </c>
      <c r="K13" s="23">
        <f>'[1]SITE (Imprensa)_PT'!K13</f>
        <v>2815</v>
      </c>
      <c r="L13" s="23">
        <f>[2]Base!DZ13</f>
        <v>3482</v>
      </c>
      <c r="M13" s="24">
        <f>[2]Base!AO13</f>
        <v>126136300</v>
      </c>
      <c r="N13" s="24">
        <f>[2]Base!AP13</f>
        <v>311247720</v>
      </c>
      <c r="O13" s="24">
        <f>[2]Base!AQ13</f>
        <v>437384020</v>
      </c>
      <c r="P13" s="24">
        <f>+[2]Base!ED13</f>
        <v>158260310.45337772</v>
      </c>
      <c r="Q13" s="157">
        <f>'[1]SITE (Imprensa)_PT'!P13</f>
        <v>8.7210273480041636E-2</v>
      </c>
      <c r="R13" s="157">
        <f>'[1]SITE (Imprensa)_PT'!Q13</f>
        <v>0.22275427437883991</v>
      </c>
      <c r="S13" s="157">
        <f>'[1]SITE (Imprensa)_PT'!R13</f>
        <v>0.68241784416357965</v>
      </c>
      <c r="T13" s="158">
        <f>'[1]SITE (Imprensa)_PT'!S13</f>
        <v>7.6176079775388227E-3</v>
      </c>
      <c r="U13" s="6"/>
      <c r="V13" s="28">
        <v>2013</v>
      </c>
      <c r="W13" s="24">
        <f>SUMIFS($O$4:$O$1528,$F$4:$F$1528,"IPO",$J$4:$J$1528,"&gt;=01/01/2013",$J$4:$J$1528,"&lt;=31/12/2013")</f>
        <v>17293349990.309998</v>
      </c>
      <c r="X13" s="24">
        <f>SUMIFS($O$4:$O$1528,$F$4:$F$1528,"FOLLOW-ON",$J$4:$J$1528,"&gt;=01/01/2013",$J$4:$J$1528,"&lt;=31/12/2013")</f>
        <v>6066116253</v>
      </c>
      <c r="Y13" s="29">
        <f>SUMIFS($O$4:$O$1528,$J$4:$J$1528,"&gt;=01/01/2013",$J$4:$J$1528,"&lt;=31/12/2013")</f>
        <v>23359466243.310001</v>
      </c>
    </row>
    <row r="14" spans="2:47" ht="13.2" x14ac:dyDescent="0.25">
      <c r="B14" s="40" t="str">
        <f>[2]Base!A14</f>
        <v>PORTO SEGURO</v>
      </c>
      <c r="C14" s="41" t="str">
        <f>[2]Base!C14</f>
        <v>NM</v>
      </c>
      <c r="D14" s="19" t="s">
        <v>64</v>
      </c>
      <c r="E14" s="19" t="str">
        <f>[2]Base!M14</f>
        <v>Pactual</v>
      </c>
      <c r="F14" s="19" t="str">
        <f>[2]Base!F14</f>
        <v>IPO</v>
      </c>
      <c r="G14" s="19" t="str">
        <f>[2]Base!G14</f>
        <v>ICVM 400</v>
      </c>
      <c r="H14" s="20">
        <f>[2]Base!X14</f>
        <v>38309</v>
      </c>
      <c r="I14" s="21">
        <f>[2]Base!W14</f>
        <v>18.75</v>
      </c>
      <c r="J14" s="22">
        <f>[2]Base!J14</f>
        <v>38313</v>
      </c>
      <c r="K14" s="23">
        <f>'[1]SITE (Imprensa)_PT'!K14</f>
        <v>5757</v>
      </c>
      <c r="L14" s="23">
        <f>[2]Base!DZ14</f>
        <v>6499</v>
      </c>
      <c r="M14" s="24">
        <f>[2]Base!AO14</f>
        <v>129022800</v>
      </c>
      <c r="N14" s="24">
        <f>[2]Base!AP14</f>
        <v>248311893.75</v>
      </c>
      <c r="O14" s="24">
        <f>[2]Base!AQ14</f>
        <v>377334693.75</v>
      </c>
      <c r="P14" s="24">
        <f>+[2]Base!ED14</f>
        <v>136330187.78452203</v>
      </c>
      <c r="Q14" s="157">
        <f>'[1]SITE (Imprensa)_PT'!P14</f>
        <v>7.9173726256386676E-2</v>
      </c>
      <c r="R14" s="157">
        <f>'[1]SITE (Imprensa)_PT'!Q14</f>
        <v>0.18708473848092852</v>
      </c>
      <c r="S14" s="157">
        <f>'[1]SITE (Imprensa)_PT'!R14</f>
        <v>0.7137786710607763</v>
      </c>
      <c r="T14" s="158">
        <f>'[1]SITE (Imprensa)_PT'!S14</f>
        <v>1.9962864201908549E-2</v>
      </c>
      <c r="U14" s="6"/>
      <c r="V14" s="28">
        <v>2014</v>
      </c>
      <c r="W14" s="24">
        <f>SUMIFS($O$4:$O$1528,$F$4:$F$1528,"IPO",$J$4:$J$1528,"&gt;=01/01/2014",$J$4:$J$1528,"&lt;=31/12/2014")</f>
        <v>417980763</v>
      </c>
      <c r="X14" s="24">
        <f>SUMIFS($O$4:$O$1528,$F$4:$F$1528,"FOLLOW-ON",$J$4:$J$1528,"&gt;=01/01/2014",$J$4:$J$1528,"&lt;=31/12/2014")</f>
        <v>13959899998.896816</v>
      </c>
      <c r="Y14" s="29">
        <f>SUMIFS($O$4:$O$1528,$J$4:$J$1528,"&gt;=01/01/2014",$J$4:$J$1528,"&lt;=31/12/2014")</f>
        <v>14377880761.896816</v>
      </c>
    </row>
    <row r="15" spans="2:47" ht="13.2" x14ac:dyDescent="0.25">
      <c r="B15" s="40" t="str">
        <f>[2]Base!A15</f>
        <v>GERDAU</v>
      </c>
      <c r="C15" s="41" t="str">
        <f>[2]Base!C15</f>
        <v>N1</v>
      </c>
      <c r="D15" s="19" t="s">
        <v>65</v>
      </c>
      <c r="E15" s="19" t="str">
        <f>[2]Base!M15</f>
        <v>Pactual</v>
      </c>
      <c r="F15" s="19" t="str">
        <f>[2]Base!F15</f>
        <v>FOLLOW-ON</v>
      </c>
      <c r="G15" s="19" t="str">
        <f>[2]Base!G15</f>
        <v>ICVM 400</v>
      </c>
      <c r="H15" s="20">
        <f>[2]Base!X15</f>
        <v>38330</v>
      </c>
      <c r="I15" s="21">
        <f>[2]Base!W15</f>
        <v>40.00111342111633</v>
      </c>
      <c r="J15" s="22">
        <f>[2]Base!J15</f>
        <v>38330</v>
      </c>
      <c r="K15" s="23">
        <f>'[1]SITE (Imprensa)_PT'!K15</f>
        <v>169</v>
      </c>
      <c r="L15" s="23">
        <f>[2]Base!DZ15</f>
        <v>250</v>
      </c>
      <c r="M15" s="24">
        <f>[2]Base!AO15</f>
        <v>0</v>
      </c>
      <c r="N15" s="24">
        <f>[2]Base!AP15</f>
        <v>412805170.32999998</v>
      </c>
      <c r="O15" s="24">
        <f>[2]Base!AQ15</f>
        <v>412805170.32999998</v>
      </c>
      <c r="P15" s="24">
        <f>+[2]Base!ED15</f>
        <v>148790790.92055941</v>
      </c>
      <c r="Q15" s="157">
        <f>'[1]SITE (Imprensa)_PT'!P15</f>
        <v>4.8351127856414856E-2</v>
      </c>
      <c r="R15" s="157">
        <f>'[1]SITE (Imprensa)_PT'!Q15</f>
        <v>0.13896637177197091</v>
      </c>
      <c r="S15" s="157">
        <f>'[1]SITE (Imprensa)_PT'!R15</f>
        <v>0.78504903466545317</v>
      </c>
      <c r="T15" s="158">
        <f>'[1]SITE (Imprensa)_PT'!S15</f>
        <v>2.7633465706161008E-2</v>
      </c>
      <c r="U15" s="6"/>
      <c r="V15" s="28">
        <v>2015</v>
      </c>
      <c r="W15" s="24">
        <f>SUMIFS($O$4:$O$1528,$F$4:$F$1528,"IPO",$J$4:$J$1528,"&gt;=01/01/2015",$J$4:$J$1528,"&lt;=31/12/2015")</f>
        <v>602800013.70000005</v>
      </c>
      <c r="X15" s="24">
        <f>SUMIFS($O$4:$O$1528,$F$4:$F$1528,"FOLLOW-ON",$J$4:$J$1528,"&gt;=01/01/2015",$J$4:$J$1528,"&lt;=31/12/2015")</f>
        <v>17461217464.799999</v>
      </c>
      <c r="Y15" s="29">
        <f>SUMIFS($O$4:$O$1528,$J$4:$J$1528,"&gt;=01/01/2015",$J$4:$J$1528,"&lt;=31/12/2015")</f>
        <v>18064017478.5</v>
      </c>
    </row>
    <row r="16" spans="2:47" ht="13.2" x14ac:dyDescent="0.25">
      <c r="B16" s="40" t="str">
        <f>[2]Base!A16</f>
        <v>GERDAU MET</v>
      </c>
      <c r="C16" s="41" t="str">
        <f>[2]Base!C16</f>
        <v>N1</v>
      </c>
      <c r="D16" s="19" t="s">
        <v>65</v>
      </c>
      <c r="E16" s="19" t="str">
        <f>[2]Base!M16</f>
        <v>Pactual</v>
      </c>
      <c r="F16" s="19" t="str">
        <f>[2]Base!F16</f>
        <v>FOLLOW-ON</v>
      </c>
      <c r="G16" s="19" t="str">
        <f>[2]Base!G16</f>
        <v>ICVM 400</v>
      </c>
      <c r="H16" s="20">
        <f>[2]Base!X16</f>
        <v>38330</v>
      </c>
      <c r="I16" s="21">
        <f>[2]Base!W16</f>
        <v>55</v>
      </c>
      <c r="J16" s="22">
        <f>[2]Base!J16</f>
        <v>38330</v>
      </c>
      <c r="K16" s="23">
        <f>'[1]SITE (Imprensa)_PT'!K16</f>
        <v>66</v>
      </c>
      <c r="L16" s="23">
        <f>[2]Base!DZ16</f>
        <v>119</v>
      </c>
      <c r="M16" s="24">
        <f>[2]Base!AO16</f>
        <v>0</v>
      </c>
      <c r="N16" s="24">
        <f>[2]Base!AP16</f>
        <v>88266090</v>
      </c>
      <c r="O16" s="24">
        <f>[2]Base!AQ16</f>
        <v>88266090</v>
      </c>
      <c r="P16" s="24">
        <f>+[2]Base!ED16</f>
        <v>31814478.806228373</v>
      </c>
      <c r="Q16" s="157">
        <f>'[1]SITE (Imprensa)_PT'!P16</f>
        <v>0.12963177591756925</v>
      </c>
      <c r="R16" s="157">
        <f>'[1]SITE (Imprensa)_PT'!Q16</f>
        <v>0.52802837420350213</v>
      </c>
      <c r="S16" s="157">
        <f>'[1]SITE (Imprensa)_PT'!R16</f>
        <v>0.28401620599711624</v>
      </c>
      <c r="T16" s="158">
        <f>'[1]SITE (Imprensa)_PT'!S16</f>
        <v>5.8323643881812368E-2</v>
      </c>
      <c r="U16" s="6"/>
      <c r="V16" s="28">
        <v>2016</v>
      </c>
      <c r="W16" s="24">
        <f>SUMIFS($O$4:$O$1528,$F$4:$F$1528,"IPO",$J$4:$J$1528,"&gt;=01/01/2016",$J$4:$J$1528,"&lt;=31/12/2016")</f>
        <v>674197600</v>
      </c>
      <c r="X16" s="24">
        <f>SUMIFS($O$4:$O$1528,$F$4:$F$1528,"FOLLOW-ON",$J$4:$J$1528,"&gt;=01/01/2016",$J$4:$J$1528,"&lt;=31/12/2016")</f>
        <v>9966649297.9599991</v>
      </c>
      <c r="Y16" s="29">
        <f>SUMIFS($O$4:$O$1528,$J$4:$J$1528,"&gt;=01/01/2016",$J$4:$J$1528,"&lt;=31/12/2016")</f>
        <v>10640846897.959999</v>
      </c>
    </row>
    <row r="17" spans="2:25" ht="13.2" x14ac:dyDescent="0.25">
      <c r="B17" s="40" t="str">
        <f>[2]Base!A17</f>
        <v>BRADESPAR</v>
      </c>
      <c r="C17" s="41" t="str">
        <f>[2]Base!C17</f>
        <v>N1</v>
      </c>
      <c r="D17" s="19" t="s">
        <v>66</v>
      </c>
      <c r="E17" s="19" t="str">
        <f>[2]Base!M17</f>
        <v>Credit Suisse</v>
      </c>
      <c r="F17" s="19" t="str">
        <f>[2]Base!F17</f>
        <v>FOLLOW-ON</v>
      </c>
      <c r="G17" s="19" t="str">
        <f>[2]Base!G17</f>
        <v>ICVM 400</v>
      </c>
      <c r="H17" s="20">
        <f>[2]Base!X17</f>
        <v>38335</v>
      </c>
      <c r="I17" s="21">
        <f>[2]Base!W17</f>
        <v>77</v>
      </c>
      <c r="J17" s="22">
        <f>[2]Base!J17</f>
        <v>38336</v>
      </c>
      <c r="K17" s="23">
        <f>'[1]SITE (Imprensa)_PT'!K17</f>
        <v>315</v>
      </c>
      <c r="L17" s="23">
        <f>[2]Base!DZ17</f>
        <v>737</v>
      </c>
      <c r="M17" s="24">
        <f>[2]Base!AO17</f>
        <v>1044546272</v>
      </c>
      <c r="N17" s="24">
        <f>[2]Base!AP17</f>
        <v>0</v>
      </c>
      <c r="O17" s="24">
        <f>[2]Base!AQ17</f>
        <v>1044546272</v>
      </c>
      <c r="P17" s="24">
        <f>+[2]Base!ED17</f>
        <v>379724542.67849356</v>
      </c>
      <c r="Q17" s="157">
        <f>'[1]SITE (Imprensa)_PT'!P17</f>
        <v>3.2629599007366901E-2</v>
      </c>
      <c r="R17" s="157">
        <f>'[1]SITE (Imprensa)_PT'!Q17</f>
        <v>0.15792991887677715</v>
      </c>
      <c r="S17" s="157">
        <f>'[1]SITE (Imprensa)_PT'!R17</f>
        <v>0.66331297193122341</v>
      </c>
      <c r="T17" s="158">
        <f>'[1]SITE (Imprensa)_PT'!S17</f>
        <v>0.14612751018463258</v>
      </c>
      <c r="U17" s="6"/>
      <c r="V17" s="28">
        <v>2017</v>
      </c>
      <c r="W17" s="24">
        <f>SUMIFS($O$4:$O$1528,$F$4:$F$1528,"IPO",$J$4:$J$1528,"&gt;=01/01/2017",$J$4:$J$1528,"&lt;=31/12/2017")</f>
        <v>20760529289</v>
      </c>
      <c r="X17" s="24">
        <f>SUMIFS($O$4:$O$1528,$F$4:$F$1528,"FOLLOW-ON",$J$4:$J$1528,"&gt;=01/01/2017",$J$4:$J$1528,"&lt;=31/12/2017")</f>
        <v>21020386287.610001</v>
      </c>
      <c r="Y17" s="29">
        <f>SUMIFS($O$4:$O$1528,$J$4:$J$1528,"&gt;=01/01/2017",$J$4:$J$1528,"&lt;=31/12/2017")</f>
        <v>41780915576.610008</v>
      </c>
    </row>
    <row r="18" spans="2:25" ht="13.8" thickBot="1" x14ac:dyDescent="0.3">
      <c r="B18" s="30" t="str">
        <f>[2]Base!A18</f>
        <v>SUZANO PETR</v>
      </c>
      <c r="C18" s="31" t="str">
        <f>[2]Base!C18</f>
        <v>N2</v>
      </c>
      <c r="D18" s="31" t="s">
        <v>59</v>
      </c>
      <c r="E18" s="31" t="str">
        <f>[2]Base!M18</f>
        <v>Itaú BBA</v>
      </c>
      <c r="F18" s="31" t="str">
        <f>[2]Base!F18</f>
        <v>FOLLOW-ON</v>
      </c>
      <c r="G18" s="31" t="str">
        <f>[2]Base!G18</f>
        <v>ICVM 400</v>
      </c>
      <c r="H18" s="32">
        <f>[2]Base!X18</f>
        <v>38337</v>
      </c>
      <c r="I18" s="33">
        <f>[2]Base!W18</f>
        <v>5.8</v>
      </c>
      <c r="J18" s="34">
        <f>[2]Base!J18</f>
        <v>38338</v>
      </c>
      <c r="K18" s="35">
        <f>'[1]SITE (Imprensa)_PT'!K18</f>
        <v>4680</v>
      </c>
      <c r="L18" s="35">
        <f>[2]Base!DZ18</f>
        <v>5284</v>
      </c>
      <c r="M18" s="36">
        <f>[2]Base!AO18</f>
        <v>31900000</v>
      </c>
      <c r="N18" s="36">
        <f>[2]Base!AP18</f>
        <v>146740000</v>
      </c>
      <c r="O18" s="36">
        <f>[2]Base!AQ18</f>
        <v>178640000</v>
      </c>
      <c r="P18" s="36">
        <f>+[2]Base!ED18</f>
        <v>65563181.267662495</v>
      </c>
      <c r="Q18" s="159">
        <f>'[1]SITE (Imprensa)_PT'!P18</f>
        <v>0.17821548701298703</v>
      </c>
      <c r="R18" s="159">
        <f>'[1]SITE (Imprensa)_PT'!Q18</f>
        <v>0.45734454545454545</v>
      </c>
      <c r="S18" s="159">
        <f>'[1]SITE (Imprensa)_PT'!R18</f>
        <v>0.35107967532467532</v>
      </c>
      <c r="T18" s="160">
        <f>'[1]SITE (Imprensa)_PT'!S18</f>
        <v>1.3360292207792208E-2</v>
      </c>
      <c r="U18" s="6"/>
      <c r="V18" s="28">
        <v>2018</v>
      </c>
      <c r="W18" s="24">
        <f>SUMIFS($O$4:$O$1528,$F$4:$F$1528,"IPO",$J$4:$J$1528,"&gt;=01/01/2018",$J$4:$J$1528,"&lt;=31/12/2018")</f>
        <v>6823344094.5</v>
      </c>
      <c r="X18" s="24">
        <f>SUMIFS($O$4:$O$1528,$F$4:$F$1528,"FOLLOW-ON",$J$4:$J$1528,"&gt;=01/01/2018",$J$4:$J$1528,"&lt;=31/12/2018")</f>
        <v>4429700000</v>
      </c>
      <c r="Y18" s="29">
        <f>SUMIFS($O$4:$O$1528,$J$4:$J$1528,"&gt;=01/01/2018",$J$4:$J$1528,"&lt;=31/12/2018")</f>
        <v>11253044094.5</v>
      </c>
    </row>
    <row r="19" spans="2:25" ht="13.8" thickTop="1" x14ac:dyDescent="0.25">
      <c r="B19" s="40" t="str">
        <f>[2]Base!A19</f>
        <v>UNIBANCO</v>
      </c>
      <c r="C19" s="41" t="str">
        <f>[2]Base!C19</f>
        <v>N1</v>
      </c>
      <c r="D19" s="41" t="s">
        <v>67</v>
      </c>
      <c r="E19" s="41" t="str">
        <f>[2]Base!M19</f>
        <v>Unibanco</v>
      </c>
      <c r="F19" s="41" t="str">
        <f>[2]Base!F19</f>
        <v>FOLLOW-ON</v>
      </c>
      <c r="G19" s="41" t="str">
        <f>[2]Base!G19</f>
        <v>ICVM 400</v>
      </c>
      <c r="H19" s="42">
        <f>[2]Base!X19</f>
        <v>38383</v>
      </c>
      <c r="I19" s="43">
        <f>[2]Base!W19</f>
        <v>15.65</v>
      </c>
      <c r="J19" s="44">
        <f>[2]Base!J19</f>
        <v>38383</v>
      </c>
      <c r="K19" s="45">
        <f>'[1]SITE (Imprensa)_PT'!K19</f>
        <v>1402</v>
      </c>
      <c r="L19" s="45">
        <f>[2]Base!DZ19</f>
        <v>2064</v>
      </c>
      <c r="M19" s="46">
        <f>[2]Base!AO19</f>
        <v>0</v>
      </c>
      <c r="N19" s="46">
        <f>[2]Base!AP19</f>
        <v>718294106.54999995</v>
      </c>
      <c r="O19" s="46">
        <f>[2]Base!AQ19</f>
        <v>718294106.54999995</v>
      </c>
      <c r="P19" s="46">
        <f>+[2]Base!ED19</f>
        <v>273656700.14858276</v>
      </c>
      <c r="Q19" s="161">
        <f>'[1]SITE (Imprensa)_PT'!P19</f>
        <v>8.6912289799852868E-2</v>
      </c>
      <c r="R19" s="161">
        <f>'[1]SITE (Imprensa)_PT'!Q19</f>
        <v>0.32188932672790277</v>
      </c>
      <c r="S19" s="161">
        <f>'[1]SITE (Imprensa)_PT'!R19</f>
        <v>0.56771033610257593</v>
      </c>
      <c r="T19" s="162">
        <f>'[1]SITE (Imprensa)_PT'!S19</f>
        <v>2.3488047369668339E-2</v>
      </c>
      <c r="U19" s="6"/>
      <c r="V19" s="28">
        <v>2019</v>
      </c>
      <c r="W19" s="24">
        <f>SUMIFS($O$4:$O$1528,$F$4:$F$1528,"IPO",$J$4:$J$1528,"&gt;=01/01/2019",$J$4:$J$1528,"&lt;=31/12/2019")</f>
        <v>9836302564.7000008</v>
      </c>
      <c r="X19" s="24">
        <f>SUMIFS($O$4:$O$1528,$F$4:$F$1528,"FOLLOW-ON",$J$4:$J$1528,"&gt;=01/01/2019",$J$4:$J$1528,"&lt;=31/12/2019")</f>
        <v>79762980683.209991</v>
      </c>
      <c r="Y19" s="29">
        <f>SUMIFS($O$4:$O$1528,$J$4:$J$1528,"&gt;=01/01/2019",$J$4:$J$1528,"&lt;=31/12/2019")</f>
        <v>89599283247.910004</v>
      </c>
    </row>
    <row r="20" spans="2:25" ht="13.2" x14ac:dyDescent="0.25">
      <c r="B20" s="40" t="str">
        <f>[2]Base!A20</f>
        <v>RENAR</v>
      </c>
      <c r="C20" s="41" t="str">
        <f>[2]Base!C20</f>
        <v>NM</v>
      </c>
      <c r="D20" s="19" t="s">
        <v>68</v>
      </c>
      <c r="E20" s="19" t="str">
        <f>[2]Base!M20</f>
        <v>Elite</v>
      </c>
      <c r="F20" s="19" t="str">
        <f>[2]Base!F20</f>
        <v>IPO</v>
      </c>
      <c r="G20" s="19" t="str">
        <f>[2]Base!G20</f>
        <v>ICVM 400</v>
      </c>
      <c r="H20" s="20">
        <f>[2]Base!X20</f>
        <v>38209</v>
      </c>
      <c r="I20" s="21">
        <f>[2]Base!W20</f>
        <v>1.6</v>
      </c>
      <c r="J20" s="22">
        <f>[2]Base!J20</f>
        <v>38411</v>
      </c>
      <c r="K20" s="23">
        <f>'[1]SITE (Imprensa)_PT'!K20</f>
        <v>1589</v>
      </c>
      <c r="L20" s="23">
        <f>[2]Base!DZ20</f>
        <v>1781</v>
      </c>
      <c r="M20" s="24">
        <f>[2]Base!AO20</f>
        <v>16000000</v>
      </c>
      <c r="N20" s="24">
        <f>[2]Base!AP20</f>
        <v>0</v>
      </c>
      <c r="O20" s="24">
        <f>[2]Base!AQ20</f>
        <v>16000000</v>
      </c>
      <c r="P20" s="24">
        <f>+[2]Base!ED20</f>
        <v>6165703.2755298642</v>
      </c>
      <c r="Q20" s="157">
        <f>'[1]SITE (Imprensa)_PT'!P20</f>
        <v>0.87065859999999995</v>
      </c>
      <c r="R20" s="157">
        <f>'[1]SITE (Imprensa)_PT'!Q20</f>
        <v>1.0185300000000001E-2</v>
      </c>
      <c r="S20" s="157">
        <f>'[1]SITE (Imprensa)_PT'!R20</f>
        <v>5.2089100000000006E-2</v>
      </c>
      <c r="T20" s="158">
        <f>'[1]SITE (Imprensa)_PT'!S20</f>
        <v>6.7067000000000002E-2</v>
      </c>
      <c r="U20" s="6"/>
      <c r="V20" s="28">
        <v>2020</v>
      </c>
      <c r="W20" s="24">
        <f>SUMIFS($O$4:$O$1528,$F$4:$F$1528,"IPO",$J$4:$J$1528,"&gt;=01/01/2020",$J$4:$J$1528,"&lt;=31/12/2020")</f>
        <v>43925413832.250008</v>
      </c>
      <c r="X20" s="24">
        <f>SUMIFS($O$4:$O$1528,$F$4:$F$1528,"FOLLOW-ON",$J$4:$J$1528,"&gt;=01/01/2020",$J$4:$J$1528,"&lt;=31/12/2020")</f>
        <v>73962720930.050003</v>
      </c>
      <c r="Y20" s="29">
        <f>SUMIFS($O$4:$O$1528,$J$4:$J$1528,"&gt;=01/01/2020",$J$4:$J$1528,"&lt;=31/12/2020")</f>
        <v>117888134762.29999</v>
      </c>
    </row>
    <row r="21" spans="2:25" ht="13.2" x14ac:dyDescent="0.25">
      <c r="B21" s="40" t="str">
        <f>[2]Base!A21</f>
        <v>ALL AMER LAT</v>
      </c>
      <c r="C21" s="41" t="str">
        <f>[2]Base!C21</f>
        <v>N2</v>
      </c>
      <c r="D21" s="19" t="s">
        <v>57</v>
      </c>
      <c r="E21" s="19" t="str">
        <f>[2]Base!M21</f>
        <v>Pactual</v>
      </c>
      <c r="F21" s="19" t="str">
        <f>[2]Base!F21</f>
        <v>FOLLOW-ON</v>
      </c>
      <c r="G21" s="19" t="str">
        <f>[2]Base!G21</f>
        <v>ICVM 400</v>
      </c>
      <c r="H21" s="20">
        <f>[2]Base!X21</f>
        <v>38433</v>
      </c>
      <c r="I21" s="21">
        <f>[2]Base!W21</f>
        <v>72.5</v>
      </c>
      <c r="J21" s="22">
        <f>[2]Base!J21</f>
        <v>38434</v>
      </c>
      <c r="K21" s="23">
        <f>'[1]SITE (Imprensa)_PT'!K21</f>
        <v>1167</v>
      </c>
      <c r="L21" s="23">
        <f>[2]Base!DZ21</f>
        <v>1540</v>
      </c>
      <c r="M21" s="24">
        <f>[2]Base!AO21</f>
        <v>0</v>
      </c>
      <c r="N21" s="24">
        <f>[2]Base!AP21</f>
        <v>644865677.5</v>
      </c>
      <c r="O21" s="24">
        <f>[2]Base!AQ21</f>
        <v>644865677.5</v>
      </c>
      <c r="P21" s="24">
        <f>+[2]Base!ED21</f>
        <v>235326671.3498522</v>
      </c>
      <c r="Q21" s="157">
        <f>'[1]SITE (Imprensa)_PT'!P21</f>
        <v>8.5816619539345856E-2</v>
      </c>
      <c r="R21" s="157">
        <f>'[1]SITE (Imprensa)_PT'!Q21</f>
        <v>0.11042386032399747</v>
      </c>
      <c r="S21" s="157">
        <f>'[1]SITE (Imprensa)_PT'!R21</f>
        <v>0.79990194159465089</v>
      </c>
      <c r="T21" s="158">
        <f>'[1]SITE (Imprensa)_PT'!S21</f>
        <v>3.8575785420057497E-3</v>
      </c>
      <c r="U21" s="6"/>
      <c r="V21" s="28">
        <v>2021</v>
      </c>
      <c r="W21" s="24">
        <f>SUMIFS($O$4:$O$1528,$F$4:$F$1528,"IPO",$J$4:$J$1528,"&gt;=01/01/2021",$J$4:$J$1528,"&lt;=31/12/2021")</f>
        <v>65668660562.69001</v>
      </c>
      <c r="X21" s="24">
        <f>SUMIFS($O$4:$O$1528,$F$4:$F$1528,"FOLLOW-ON",$J$4:$J$1528,"&gt;=01/01/2021",$J$4:$J$1528,"&lt;=31/12/2021")</f>
        <v>64844099967.299995</v>
      </c>
      <c r="Y21" s="29">
        <f>SUMIFS($O$4:$O$1528,$J$4:$J$1528,"&gt;=01/01/2021",$J$4:$J$1528,"&lt;=31/12/2021")</f>
        <v>130512760529.98999</v>
      </c>
    </row>
    <row r="22" spans="2:25" ht="13.2" x14ac:dyDescent="0.25">
      <c r="B22" s="40" t="str">
        <f>[2]Base!A22</f>
        <v>SUBMARINO</v>
      </c>
      <c r="C22" s="41" t="str">
        <f>[2]Base!C22</f>
        <v>NM</v>
      </c>
      <c r="D22" s="19" t="s">
        <v>69</v>
      </c>
      <c r="E22" s="19" t="str">
        <f>[2]Base!M22</f>
        <v>Credit Suisse</v>
      </c>
      <c r="F22" s="19" t="str">
        <f>[2]Base!F22</f>
        <v>IPO</v>
      </c>
      <c r="G22" s="19" t="str">
        <f>[2]Base!G22</f>
        <v>ICVM 400</v>
      </c>
      <c r="H22" s="20">
        <f>[2]Base!X22</f>
        <v>38440</v>
      </c>
      <c r="I22" s="21">
        <f>[2]Base!W22</f>
        <v>21.62</v>
      </c>
      <c r="J22" s="22">
        <f>[2]Base!J22</f>
        <v>38441</v>
      </c>
      <c r="K22" s="23">
        <f>'[1]SITE (Imprensa)_PT'!K22</f>
        <v>3969</v>
      </c>
      <c r="L22" s="23">
        <f>[2]Base!DZ22</f>
        <v>4368</v>
      </c>
      <c r="M22" s="24">
        <f>[2]Base!AO22</f>
        <v>135125000</v>
      </c>
      <c r="N22" s="24">
        <f>[2]Base!AP22</f>
        <v>337812500</v>
      </c>
      <c r="O22" s="24">
        <f>[2]Base!AQ22</f>
        <v>472937500</v>
      </c>
      <c r="P22" s="24">
        <f>+[2]Base!ED22</f>
        <v>176416554.75977319</v>
      </c>
      <c r="Q22" s="157">
        <f>'[1]SITE (Imprensa)_PT'!P22</f>
        <v>8.858470559006211E-2</v>
      </c>
      <c r="R22" s="157">
        <f>'[1]SITE (Imprensa)_PT'!Q22</f>
        <v>0.2329450931677019</v>
      </c>
      <c r="S22" s="157">
        <f>'[1]SITE (Imprensa)_PT'!R22</f>
        <v>0.65442583850931679</v>
      </c>
      <c r="T22" s="158">
        <f>'[1]SITE (Imprensa)_PT'!S22</f>
        <v>2.4044362732919256E-2</v>
      </c>
      <c r="U22" s="6"/>
      <c r="V22" s="28">
        <v>2022</v>
      </c>
      <c r="W22" s="24">
        <f>SUMIFS($O$4:$O$1528,$F$4:$F$1528,"IPO",$J$4:$J$1528,"&gt;=01/01/2022",$J$4:$J$1528,"&lt;=31/12/2022")</f>
        <v>0</v>
      </c>
      <c r="X22" s="24">
        <f>SUMIFS($O$4:$O$1528,$F$4:$F$1528,"FOLLOW-ON",$J$4:$J$1528,"&gt;=01/01/2022",$J$4:$J$1528,"&lt;=31/12/2022")</f>
        <v>57701485612.419998</v>
      </c>
      <c r="Y22" s="29">
        <f>SUMIFS($O$4:$O$1528,$J$4:$J$1528,"&gt;=01/01/2022",$J$4:$J$1528,"&lt;=31/12/2022")</f>
        <v>57701485612.419998</v>
      </c>
    </row>
    <row r="23" spans="2:25" ht="13.2" x14ac:dyDescent="0.25">
      <c r="B23" s="40" t="str">
        <f>[2]Base!A23</f>
        <v>ULTRAPAR</v>
      </c>
      <c r="C23" s="41" t="str">
        <f>[2]Base!C23</f>
        <v>BÁSICO</v>
      </c>
      <c r="D23" s="19" t="s">
        <v>70</v>
      </c>
      <c r="E23" s="19" t="str">
        <f>[2]Base!M23</f>
        <v>UBS</v>
      </c>
      <c r="F23" s="19" t="str">
        <f>[2]Base!F23</f>
        <v>FOLLOW-ON</v>
      </c>
      <c r="G23" s="19" t="str">
        <f>[2]Base!G23</f>
        <v>ICVM 400</v>
      </c>
      <c r="H23" s="20">
        <f>[2]Base!X23</f>
        <v>38454</v>
      </c>
      <c r="I23" s="21">
        <f>[2]Base!W23</f>
        <v>0.04</v>
      </c>
      <c r="J23" s="22">
        <f>[2]Base!J23</f>
        <v>38455</v>
      </c>
      <c r="K23" s="23">
        <f>'[1]SITE (Imprensa)_PT'!K23</f>
        <v>1466</v>
      </c>
      <c r="L23" s="23">
        <f>[2]Base!DZ23</f>
        <v>1817</v>
      </c>
      <c r="M23" s="24">
        <f>[2]Base!AO23</f>
        <v>47218027.880000003</v>
      </c>
      <c r="N23" s="24">
        <f>[2]Base!AP23</f>
        <v>314786852.72000003</v>
      </c>
      <c r="O23" s="24">
        <f>[2]Base!AQ23</f>
        <v>362004880.60000002</v>
      </c>
      <c r="P23" s="24">
        <f>+[2]Base!ED23</f>
        <v>141419204.85975468</v>
      </c>
      <c r="Q23" s="157">
        <f>'[1]SITE (Imprensa)_PT'!P23</f>
        <v>8.0113947502397281E-2</v>
      </c>
      <c r="R23" s="157">
        <f>'[1]SITE (Imprensa)_PT'!Q23</f>
        <v>0.13830698811854636</v>
      </c>
      <c r="S23" s="157">
        <f>'[1]SITE (Imprensa)_PT'!R23</f>
        <v>0.74808946064800641</v>
      </c>
      <c r="T23" s="158">
        <f>'[1]SITE (Imprensa)_PT'!S23</f>
        <v>3.3489603731049804E-2</v>
      </c>
      <c r="U23" s="6"/>
      <c r="V23" s="28">
        <v>2023</v>
      </c>
      <c r="W23" s="24">
        <f>SUMIFS($O$4:$O$1528,$F$4:$F$1528,"IPO",$J$4:$J$1528,"&gt;=01/01/2023",$J$4:$J$1528,"&lt;=31/12/2023")</f>
        <v>0</v>
      </c>
      <c r="X23" s="24">
        <f>SUMIFS($O$4:$O$1528,$F$4:$F$1528,"FOLLOW-ON",$J$4:$J$1528,"&gt;=01/01/2023",$J$4:$J$1528,"&lt;=31/12/2023")</f>
        <v>31624646072.540001</v>
      </c>
      <c r="Y23" s="29">
        <f>SUMIFS($O$4:$O$1528,$J$4:$J$1528,"&gt;=01/01/2023",$J$4:$J$1528,"&lt;=31/12/2023")</f>
        <v>31624646072.540001</v>
      </c>
    </row>
    <row r="24" spans="2:25" ht="13.2" x14ac:dyDescent="0.25">
      <c r="B24" s="40" t="str">
        <f>[2]Base!A24</f>
        <v>GOL</v>
      </c>
      <c r="C24" s="41" t="str">
        <f>[2]Base!C24</f>
        <v>N2</v>
      </c>
      <c r="D24" s="19" t="s">
        <v>56</v>
      </c>
      <c r="E24" s="19" t="str">
        <f>[2]Base!M24</f>
        <v>Santander</v>
      </c>
      <c r="F24" s="19" t="str">
        <f>[2]Base!F24</f>
        <v>FOLLOW-ON</v>
      </c>
      <c r="G24" s="19" t="str">
        <f>[2]Base!G24</f>
        <v>ICVM 400</v>
      </c>
      <c r="H24" s="20">
        <f>[2]Base!X24</f>
        <v>38469</v>
      </c>
      <c r="I24" s="21">
        <f>[2]Base!W24</f>
        <v>35.119999999999997</v>
      </c>
      <c r="J24" s="22">
        <f>[2]Base!J24</f>
        <v>38470</v>
      </c>
      <c r="K24" s="23">
        <f>'[1]SITE (Imprensa)_PT'!K24</f>
        <v>2379</v>
      </c>
      <c r="L24" s="23">
        <f>[2]Base!DZ24</f>
        <v>2598</v>
      </c>
      <c r="M24" s="24">
        <f>[2]Base!AO24</f>
        <v>271330482.31999999</v>
      </c>
      <c r="N24" s="24">
        <f>[2]Base!AP24</f>
        <v>322373117.67999995</v>
      </c>
      <c r="O24" s="24">
        <f>[2]Base!AQ24</f>
        <v>593703600</v>
      </c>
      <c r="P24" s="24">
        <f>+[2]Base!ED24</f>
        <v>235437839.5526827</v>
      </c>
      <c r="Q24" s="157">
        <f>'[1]SITE (Imprensa)_PT'!P24</f>
        <v>4.7624312333629099E-2</v>
      </c>
      <c r="R24" s="157">
        <f>'[1]SITE (Imprensa)_PT'!Q24</f>
        <v>0.15055959775214431</v>
      </c>
      <c r="S24" s="157">
        <f>'[1]SITE (Imprensa)_PT'!R24</f>
        <v>0.79227151730257306</v>
      </c>
      <c r="T24" s="158">
        <f>'[1]SITE (Imprensa)_PT'!S24</f>
        <v>9.5445726116533559E-3</v>
      </c>
      <c r="U24" s="6"/>
    </row>
    <row r="25" spans="2:25" ht="13.2" x14ac:dyDescent="0.25">
      <c r="B25" s="40" t="str">
        <f>[2]Base!A25</f>
        <v>LOCALIZA</v>
      </c>
      <c r="C25" s="41" t="str">
        <f>[2]Base!C25</f>
        <v>NM</v>
      </c>
      <c r="D25" s="19" t="s">
        <v>71</v>
      </c>
      <c r="E25" s="19" t="str">
        <f>[2]Base!M25</f>
        <v>Credit Suisse</v>
      </c>
      <c r="F25" s="19" t="str">
        <f>[2]Base!F25</f>
        <v>IPO</v>
      </c>
      <c r="G25" s="19" t="str">
        <f>[2]Base!G25</f>
        <v>ICVM 400</v>
      </c>
      <c r="H25" s="20">
        <f>[2]Base!X25</f>
        <v>38491</v>
      </c>
      <c r="I25" s="21">
        <f>[2]Base!W25</f>
        <v>11.5</v>
      </c>
      <c r="J25" s="22">
        <f>[2]Base!J25</f>
        <v>38495</v>
      </c>
      <c r="K25" s="23">
        <f>'[1]SITE (Imprensa)_PT'!K25</f>
        <v>785</v>
      </c>
      <c r="L25" s="23">
        <f>[2]Base!DZ25</f>
        <v>958</v>
      </c>
      <c r="M25" s="24">
        <f>[2]Base!AO25</f>
        <v>0</v>
      </c>
      <c r="N25" s="24">
        <f>[2]Base!AP25</f>
        <v>264802737.5</v>
      </c>
      <c r="O25" s="24">
        <f>[2]Base!AQ25</f>
        <v>264802737.5</v>
      </c>
      <c r="P25" s="24">
        <f>+[2]Base!ED25</f>
        <v>108113639.61131752</v>
      </c>
      <c r="Q25" s="157">
        <f>'[1]SITE (Imprensa)_PT'!P25</f>
        <v>8.2029748017389284E-2</v>
      </c>
      <c r="R25" s="157">
        <f>'[1]SITE (Imprensa)_PT'!Q25</f>
        <v>4.0349202653940167E-2</v>
      </c>
      <c r="S25" s="157">
        <f>'[1]SITE (Imprensa)_PT'!R25</f>
        <v>0.86661689432317945</v>
      </c>
      <c r="T25" s="158">
        <f>'[1]SITE (Imprensa)_PT'!S25</f>
        <v>1.1004155005491085E-2</v>
      </c>
      <c r="U25" s="6"/>
    </row>
    <row r="26" spans="2:25" ht="13.2" x14ac:dyDescent="0.25">
      <c r="B26" s="40" t="str">
        <f>[2]Base!A26</f>
        <v>TAM S/A</v>
      </c>
      <c r="C26" s="41" t="str">
        <f>[2]Base!C26</f>
        <v>N2</v>
      </c>
      <c r="D26" s="19" t="s">
        <v>56</v>
      </c>
      <c r="E26" s="19" t="str">
        <f>[2]Base!M26</f>
        <v>Pactual</v>
      </c>
      <c r="F26" s="19" t="str">
        <f>[2]Base!F26</f>
        <v>IPO</v>
      </c>
      <c r="G26" s="19" t="str">
        <f>[2]Base!G26</f>
        <v>ICVM 400</v>
      </c>
      <c r="H26" s="20">
        <f>[2]Base!X26</f>
        <v>38516</v>
      </c>
      <c r="I26" s="21">
        <f>[2]Base!W26</f>
        <v>18</v>
      </c>
      <c r="J26" s="22">
        <f>[2]Base!J26</f>
        <v>38517</v>
      </c>
      <c r="K26" s="23">
        <f>'[1]SITE (Imprensa)_PT'!K26</f>
        <v>1171</v>
      </c>
      <c r="L26" s="23">
        <f>[2]Base!DZ26</f>
        <v>1647</v>
      </c>
      <c r="M26" s="24">
        <f>[2]Base!AO26</f>
        <v>383942160</v>
      </c>
      <c r="N26" s="24">
        <f>[2]Base!AP26</f>
        <v>164546640</v>
      </c>
      <c r="O26" s="24">
        <f>[2]Base!AQ26</f>
        <v>548488800</v>
      </c>
      <c r="P26" s="24">
        <f>+[2]Base!ED26</f>
        <v>225948012.3583934</v>
      </c>
      <c r="Q26" s="157">
        <f>'[1]SITE (Imprensa)_PT'!P26</f>
        <v>9.1328515732682233E-2</v>
      </c>
      <c r="R26" s="157">
        <f>'[1]SITE (Imprensa)_PT'!Q26</f>
        <v>0.16127735333884666</v>
      </c>
      <c r="S26" s="157">
        <f>'[1]SITE (Imprensa)_PT'!R26</f>
        <v>0.73807417398495645</v>
      </c>
      <c r="T26" s="158">
        <f>'[1]SITE (Imprensa)_PT'!S26</f>
        <v>9.3199569435146162E-3</v>
      </c>
      <c r="U26" s="6"/>
    </row>
    <row r="27" spans="2:25" ht="13.2" x14ac:dyDescent="0.25">
      <c r="B27" s="40" t="str">
        <f>[2]Base!A27</f>
        <v>AES TIETE</v>
      </c>
      <c r="C27" s="41" t="str">
        <f>[2]Base!C27</f>
        <v>BÁSICO</v>
      </c>
      <c r="D27" s="19" t="s">
        <v>60</v>
      </c>
      <c r="E27" s="19" t="str">
        <f>[2]Base!M27</f>
        <v>Credit Suisse</v>
      </c>
      <c r="F27" s="19" t="str">
        <f>[2]Base!F27</f>
        <v>FOLLOW-ON</v>
      </c>
      <c r="G27" s="19" t="str">
        <f>[2]Base!G27</f>
        <v>ICVM 400</v>
      </c>
      <c r="H27" s="20">
        <f>[2]Base!X27</f>
        <v>38517</v>
      </c>
      <c r="I27" s="21">
        <f>[2]Base!W27</f>
        <v>3.6499999999999998E-2</v>
      </c>
      <c r="J27" s="22">
        <f>[2]Base!J27</f>
        <v>38518</v>
      </c>
      <c r="K27" s="23">
        <f>'[1]SITE (Imprensa)_PT'!K27</f>
        <v>657</v>
      </c>
      <c r="L27" s="23">
        <f>[2]Base!DZ27</f>
        <v>1139</v>
      </c>
      <c r="M27" s="24">
        <f>[2]Base!AO27</f>
        <v>0</v>
      </c>
      <c r="N27" s="24">
        <f>[2]Base!AP27</f>
        <v>1059840083.5385001</v>
      </c>
      <c r="O27" s="24">
        <f>[2]Base!AQ27</f>
        <v>1059840083.5385001</v>
      </c>
      <c r="P27" s="24">
        <f>+[2]Base!ED27</f>
        <v>433383800.26109183</v>
      </c>
      <c r="Q27" s="157">
        <f>'[1]SITE (Imprensa)_PT'!P27</f>
        <v>1.7381361137518082E-2</v>
      </c>
      <c r="R27" s="157">
        <f>'[1]SITE (Imprensa)_PT'!Q27</f>
        <v>0.17793288041473623</v>
      </c>
      <c r="S27" s="157">
        <f>'[1]SITE (Imprensa)_PT'!R27</f>
        <v>0.80199920997291008</v>
      </c>
      <c r="T27" s="158">
        <f>'[1]SITE (Imprensa)_PT'!S27</f>
        <v>2.686548474835607E-3</v>
      </c>
      <c r="U27" s="6"/>
    </row>
    <row r="28" spans="2:25" ht="13.2" x14ac:dyDescent="0.25">
      <c r="B28" s="40" t="str">
        <f>[2]Base!A28</f>
        <v>LOJAS RENNER</v>
      </c>
      <c r="C28" s="41" t="str">
        <f>[2]Base!C28</f>
        <v>NM</v>
      </c>
      <c r="D28" s="19" t="s">
        <v>72</v>
      </c>
      <c r="E28" s="19" t="str">
        <f>[2]Base!M28</f>
        <v>Credit Suisse</v>
      </c>
      <c r="F28" s="19" t="str">
        <f>[2]Base!F28</f>
        <v>FOLLOW-ON</v>
      </c>
      <c r="G28" s="19" t="str">
        <f>[2]Base!G28</f>
        <v>ICVM 400</v>
      </c>
      <c r="H28" s="20">
        <f>[2]Base!X28</f>
        <v>38532</v>
      </c>
      <c r="I28" s="21">
        <f>[2]Base!W28</f>
        <v>37</v>
      </c>
      <c r="J28" s="22">
        <f>[2]Base!J28</f>
        <v>38534</v>
      </c>
      <c r="K28" s="23">
        <f>'[1]SITE (Imprensa)_PT'!K28</f>
        <v>106</v>
      </c>
      <c r="L28" s="23">
        <f>[2]Base!DZ28</f>
        <v>448</v>
      </c>
      <c r="M28" s="24">
        <f>[2]Base!AO28</f>
        <v>343138259</v>
      </c>
      <c r="N28" s="24">
        <f>[2]Base!AP28</f>
        <v>542890492</v>
      </c>
      <c r="O28" s="24">
        <f>[2]Base!AQ28</f>
        <v>886028751</v>
      </c>
      <c r="P28" s="24">
        <f>+[2]Base!ED28</f>
        <v>377692463.87314039</v>
      </c>
      <c r="Q28" s="157">
        <f>'[1]SITE (Imprensa)_PT'!P28</f>
        <v>1.8411596364719902E-2</v>
      </c>
      <c r="R28" s="157">
        <f>'[1]SITE (Imprensa)_PT'!Q28</f>
        <v>0.11606454064758348</v>
      </c>
      <c r="S28" s="157">
        <f>'[1]SITE (Imprensa)_PT'!R28</f>
        <v>0.86066164857145577</v>
      </c>
      <c r="T28" s="158">
        <f>'[1]SITE (Imprensa)_PT'!S28</f>
        <v>4.8622144162407963E-3</v>
      </c>
      <c r="U28" s="6"/>
    </row>
    <row r="29" spans="2:25" ht="13.2" x14ac:dyDescent="0.25">
      <c r="B29" s="40" t="str">
        <f>[2]Base!A29</f>
        <v>ENERGIAS BR</v>
      </c>
      <c r="C29" s="41" t="str">
        <f>[2]Base!C29</f>
        <v>NM</v>
      </c>
      <c r="D29" s="19" t="s">
        <v>60</v>
      </c>
      <c r="E29" s="19" t="str">
        <f>[2]Base!M29</f>
        <v>UBS</v>
      </c>
      <c r="F29" s="19" t="str">
        <f>[2]Base!F29</f>
        <v>IPO</v>
      </c>
      <c r="G29" s="19" t="str">
        <f>[2]Base!G29</f>
        <v>ICVM 400</v>
      </c>
      <c r="H29" s="20">
        <f>[2]Base!X29</f>
        <v>38545</v>
      </c>
      <c r="I29" s="21">
        <f>[2]Base!W29</f>
        <v>18</v>
      </c>
      <c r="J29" s="22">
        <f>[2]Base!J29</f>
        <v>38546</v>
      </c>
      <c r="K29" s="23">
        <f>'[1]SITE (Imprensa)_PT'!K29</f>
        <v>460</v>
      </c>
      <c r="L29" s="23">
        <f>[2]Base!DZ29</f>
        <v>1473</v>
      </c>
      <c r="M29" s="24">
        <f>[2]Base!AO29</f>
        <v>1170132696</v>
      </c>
      <c r="N29" s="24">
        <f>[2]Base!AP29</f>
        <v>14570028</v>
      </c>
      <c r="O29" s="24">
        <f>[2]Base!AQ29</f>
        <v>1184702724</v>
      </c>
      <c r="P29" s="24">
        <f>+[2]Base!ED29</f>
        <v>504515255.94072056</v>
      </c>
      <c r="Q29" s="157">
        <f>'[1]SITE (Imprensa)_PT'!P29</f>
        <v>1.2570388923998119E-2</v>
      </c>
      <c r="R29" s="157">
        <f>'[1]SITE (Imprensa)_PT'!Q29</f>
        <v>0.1546174565898947</v>
      </c>
      <c r="S29" s="157">
        <f>'[1]SITE (Imprensa)_PT'!R29</f>
        <v>0.26359767195065553</v>
      </c>
      <c r="T29" s="158">
        <f>'[1]SITE (Imprensa)_PT'!S29</f>
        <v>0.5692144825354517</v>
      </c>
      <c r="U29" s="6"/>
    </row>
    <row r="30" spans="2:25" ht="13.2" x14ac:dyDescent="0.25">
      <c r="B30" s="40" t="str">
        <f>[2]Base!A30</f>
        <v>OHL BRASIL</v>
      </c>
      <c r="C30" s="41" t="str">
        <f>[2]Base!C30</f>
        <v>NM</v>
      </c>
      <c r="D30" s="19" t="s">
        <v>54</v>
      </c>
      <c r="E30" s="19" t="str">
        <f>[2]Base!M30</f>
        <v>Unibanco</v>
      </c>
      <c r="F30" s="19" t="str">
        <f>[2]Base!F30</f>
        <v>IPO</v>
      </c>
      <c r="G30" s="19" t="str">
        <f>[2]Base!G30</f>
        <v>ICVM 400</v>
      </c>
      <c r="H30" s="20">
        <f>[2]Base!X30</f>
        <v>38546</v>
      </c>
      <c r="I30" s="21">
        <f>[2]Base!W30</f>
        <v>18</v>
      </c>
      <c r="J30" s="22">
        <f>[2]Base!J30</f>
        <v>38548</v>
      </c>
      <c r="K30" s="23">
        <f>'[1]SITE (Imprensa)_PT'!K30</f>
        <v>1057</v>
      </c>
      <c r="L30" s="23">
        <f>[2]Base!DZ30</f>
        <v>1367</v>
      </c>
      <c r="M30" s="24">
        <f>[2]Base!AO30</f>
        <v>135000000</v>
      </c>
      <c r="N30" s="24">
        <f>[2]Base!AP30</f>
        <v>360999990</v>
      </c>
      <c r="O30" s="24">
        <f>[2]Base!AQ30</f>
        <v>495999990</v>
      </c>
      <c r="P30" s="24">
        <f>+[2]Base!ED30</f>
        <v>211721513.63810989</v>
      </c>
      <c r="Q30" s="157">
        <f>'[1]SITE (Imprensa)_PT'!P30</f>
        <v>7.9794400802306473E-2</v>
      </c>
      <c r="R30" s="157">
        <f>'[1]SITE (Imprensa)_PT'!Q30</f>
        <v>0.20655435900311209</v>
      </c>
      <c r="S30" s="157">
        <f>'[1]SITE (Imprensa)_PT'!R30</f>
        <v>0.70142169156092116</v>
      </c>
      <c r="T30" s="158">
        <f>'[1]SITE (Imprensa)_PT'!S30</f>
        <v>1.2229548633660254E-2</v>
      </c>
      <c r="U30" s="6"/>
    </row>
    <row r="31" spans="2:25" ht="13.2" x14ac:dyDescent="0.25">
      <c r="B31" s="40" t="str">
        <f>[2]Base!A31</f>
        <v>UNIBANCO</v>
      </c>
      <c r="C31" s="41" t="str">
        <f>[2]Base!C31</f>
        <v>N1</v>
      </c>
      <c r="D31" s="19" t="s">
        <v>67</v>
      </c>
      <c r="E31" s="19" t="str">
        <f>[2]Base!M31</f>
        <v>Unibanco</v>
      </c>
      <c r="F31" s="19" t="str">
        <f>[2]Base!F31</f>
        <v>FOLLOW-ON</v>
      </c>
      <c r="G31" s="19" t="str">
        <f>[2]Base!G31</f>
        <v>ICVM 400</v>
      </c>
      <c r="H31" s="20">
        <f>[2]Base!X31</f>
        <v>38608</v>
      </c>
      <c r="I31" s="21">
        <f>[2]Base!W31</f>
        <v>20.49</v>
      </c>
      <c r="J31" s="22">
        <f>[2]Base!J31</f>
        <v>38609</v>
      </c>
      <c r="K31" s="23">
        <f>'[1]SITE (Imprensa)_PT'!K31</f>
        <v>932</v>
      </c>
      <c r="L31" s="23">
        <f>[2]Base!DZ31</f>
        <v>1415</v>
      </c>
      <c r="M31" s="24">
        <f>[2]Base!AO31</f>
        <v>0</v>
      </c>
      <c r="N31" s="24">
        <f>[2]Base!AP31</f>
        <v>1765197435.8399999</v>
      </c>
      <c r="O31" s="24">
        <f>[2]Base!AQ31</f>
        <v>1765197435.8399999</v>
      </c>
      <c r="P31" s="24">
        <f>+[2]Base!ED31</f>
        <v>757595466.02575099</v>
      </c>
      <c r="Q31" s="157">
        <f>'[1]SITE (Imprensa)_PT'!P31</f>
        <v>2.9388961589621433E-2</v>
      </c>
      <c r="R31" s="157">
        <f>'[1]SITE (Imprensa)_PT'!Q31</f>
        <v>0.1540143441351805</v>
      </c>
      <c r="S31" s="157">
        <f>'[1]SITE (Imprensa)_PT'!R31</f>
        <v>0.80465119961161347</v>
      </c>
      <c r="T31" s="158">
        <f>'[1]SITE (Imprensa)_PT'!S31</f>
        <v>1.1945494663584633E-2</v>
      </c>
      <c r="U31" s="6"/>
    </row>
    <row r="32" spans="2:25" ht="13.2" x14ac:dyDescent="0.25">
      <c r="B32" s="40" t="str">
        <f>[2]Base!A32</f>
        <v>BRADESPAR</v>
      </c>
      <c r="C32" s="41" t="str">
        <f>[2]Base!C32</f>
        <v>N1</v>
      </c>
      <c r="D32" s="19" t="s">
        <v>66</v>
      </c>
      <c r="E32" s="19" t="str">
        <f>[2]Base!M32</f>
        <v>Credit Suisse</v>
      </c>
      <c r="F32" s="19" t="str">
        <f>[2]Base!F32</f>
        <v>FOLLOW-ON</v>
      </c>
      <c r="G32" s="19" t="str">
        <f>[2]Base!G32</f>
        <v>ICVM 400</v>
      </c>
      <c r="H32" s="20">
        <f>[2]Base!X32</f>
        <v>38609</v>
      </c>
      <c r="I32" s="21">
        <f>[2]Base!W32</f>
        <v>53</v>
      </c>
      <c r="J32" s="22">
        <f>[2]Base!J32</f>
        <v>38610</v>
      </c>
      <c r="K32" s="23">
        <f>'[1]SITE (Imprensa)_PT'!K32</f>
        <v>823</v>
      </c>
      <c r="L32" s="23">
        <f>[2]Base!DZ32</f>
        <v>1289</v>
      </c>
      <c r="M32" s="24">
        <f>[2]Base!AO32</f>
        <v>0</v>
      </c>
      <c r="N32" s="24">
        <f>[2]Base!AP32</f>
        <v>505059260</v>
      </c>
      <c r="O32" s="24">
        <f>[2]Base!AQ32</f>
        <v>505059260</v>
      </c>
      <c r="P32" s="24">
        <f>+[2]Base!ED32</f>
        <v>219476473.14444637</v>
      </c>
      <c r="Q32" s="157">
        <f>'[1]SITE (Imprensa)_PT'!P32</f>
        <v>8.5088494367967824E-2</v>
      </c>
      <c r="R32" s="157">
        <f>'[1]SITE (Imprensa)_PT'!Q32</f>
        <v>0.23694778905746625</v>
      </c>
      <c r="S32" s="157">
        <f>'[1]SITE (Imprensa)_PT'!R32</f>
        <v>0.67082687089035853</v>
      </c>
      <c r="T32" s="158">
        <f>'[1]SITE (Imprensa)_PT'!S32</f>
        <v>7.1368456842074331E-3</v>
      </c>
      <c r="U32" s="6"/>
    </row>
    <row r="33" spans="2:21" ht="13.2" x14ac:dyDescent="0.25">
      <c r="B33" s="40" t="str">
        <f>[2]Base!A33</f>
        <v>CYRELA REALT</v>
      </c>
      <c r="C33" s="41" t="str">
        <f>[2]Base!C33</f>
        <v>NM</v>
      </c>
      <c r="D33" s="19" t="s">
        <v>73</v>
      </c>
      <c r="E33" s="19" t="str">
        <f>[2]Base!M33</f>
        <v>Credit Suisse</v>
      </c>
      <c r="F33" s="19" t="str">
        <f>[2]Base!F33</f>
        <v>FOLLOW-ON</v>
      </c>
      <c r="G33" s="19" t="str">
        <f>[2]Base!G33</f>
        <v>ICVM 400</v>
      </c>
      <c r="H33" s="20">
        <f>[2]Base!X33</f>
        <v>38615</v>
      </c>
      <c r="I33" s="21">
        <f>[2]Base!W33</f>
        <v>15</v>
      </c>
      <c r="J33" s="22">
        <f>[2]Base!J33</f>
        <v>38617</v>
      </c>
      <c r="K33" s="23">
        <f>'[1]SITE (Imprensa)_PT'!K33</f>
        <v>1574</v>
      </c>
      <c r="L33" s="23">
        <f>[2]Base!DZ33</f>
        <v>2025</v>
      </c>
      <c r="M33" s="24">
        <f>[2]Base!AO33</f>
        <v>629175000</v>
      </c>
      <c r="N33" s="24">
        <f>[2]Base!AP33</f>
        <v>273000000</v>
      </c>
      <c r="O33" s="24">
        <f>[2]Base!AQ33</f>
        <v>902175000</v>
      </c>
      <c r="P33" s="24">
        <f>+[2]Base!ED33</f>
        <v>396525580.16877639</v>
      </c>
      <c r="Q33" s="157">
        <f>'[1]SITE (Imprensa)_PT'!P33</f>
        <v>8.3550852107407106E-2</v>
      </c>
      <c r="R33" s="157">
        <f>'[1]SITE (Imprensa)_PT'!Q33</f>
        <v>0.18672499792168926</v>
      </c>
      <c r="S33" s="157">
        <f>'[1]SITE (Imprensa)_PT'!R33</f>
        <v>0.7224429628398038</v>
      </c>
      <c r="T33" s="158">
        <f>'[1]SITE (Imprensa)_PT'!S33</f>
        <v>7.2811871310998416E-3</v>
      </c>
      <c r="U33" s="6"/>
    </row>
    <row r="34" spans="2:21" ht="13.2" x14ac:dyDescent="0.25">
      <c r="B34" s="40" t="str">
        <f>[2]Base!A34</f>
        <v>NOSSA CAIXA</v>
      </c>
      <c r="C34" s="41" t="str">
        <f>[2]Base!C34</f>
        <v>NM</v>
      </c>
      <c r="D34" s="19" t="s">
        <v>67</v>
      </c>
      <c r="E34" s="19" t="str">
        <f>[2]Base!M34</f>
        <v>UBS</v>
      </c>
      <c r="F34" s="19" t="str">
        <f>[2]Base!F34</f>
        <v>IPO</v>
      </c>
      <c r="G34" s="19" t="str">
        <f>[2]Base!G34</f>
        <v>ICVM 400</v>
      </c>
      <c r="H34" s="20">
        <f>[2]Base!X34</f>
        <v>38651</v>
      </c>
      <c r="I34" s="21">
        <f>[2]Base!W34</f>
        <v>31</v>
      </c>
      <c r="J34" s="22">
        <f>[2]Base!J34</f>
        <v>38653</v>
      </c>
      <c r="K34" s="23">
        <f>'[1]SITE (Imprensa)_PT'!K34</f>
        <v>7342</v>
      </c>
      <c r="L34" s="23">
        <f>[2]Base!DZ34</f>
        <v>8983</v>
      </c>
      <c r="M34" s="24">
        <f>[2]Base!AO34</f>
        <v>0</v>
      </c>
      <c r="N34" s="24">
        <f>[2]Base!AP34</f>
        <v>953955994</v>
      </c>
      <c r="O34" s="24">
        <f>[2]Base!AQ34</f>
        <v>953955994</v>
      </c>
      <c r="P34" s="24">
        <f>+[2]Base!ED34</f>
        <v>418546774.54030126</v>
      </c>
      <c r="Q34" s="157">
        <f>'[1]SITE (Imprensa)_PT'!P34</f>
        <v>7.061810547206436E-2</v>
      </c>
      <c r="R34" s="157">
        <f>'[1]SITE (Imprensa)_PT'!Q34</f>
        <v>0.21591992324123915</v>
      </c>
      <c r="S34" s="157">
        <f>'[1]SITE (Imprensa)_PT'!R34</f>
        <v>0.70600518497292442</v>
      </c>
      <c r="T34" s="158">
        <f>'[1]SITE (Imprensa)_PT'!S34</f>
        <v>7.4567863137720378E-3</v>
      </c>
      <c r="U34" s="6"/>
    </row>
    <row r="35" spans="2:21" ht="13.2" x14ac:dyDescent="0.25">
      <c r="B35" s="40" t="str">
        <f>[2]Base!A35</f>
        <v>COSAN</v>
      </c>
      <c r="C35" s="41" t="str">
        <f>[2]Base!C35</f>
        <v>NM</v>
      </c>
      <c r="D35" s="19" t="s">
        <v>68</v>
      </c>
      <c r="E35" s="19" t="str">
        <f>[2]Base!M35</f>
        <v>Morgan Stanley</v>
      </c>
      <c r="F35" s="19" t="str">
        <f>[2]Base!F35</f>
        <v>IPO</v>
      </c>
      <c r="G35" s="19" t="str">
        <f>[2]Base!G35</f>
        <v>ICVM 400</v>
      </c>
      <c r="H35" s="20">
        <f>[2]Base!X35</f>
        <v>38672</v>
      </c>
      <c r="I35" s="21">
        <f>[2]Base!W35</f>
        <v>48</v>
      </c>
      <c r="J35" s="22">
        <f>[2]Base!J35</f>
        <v>38674</v>
      </c>
      <c r="K35" s="23">
        <f>'[1]SITE (Imprensa)_PT'!K35</f>
        <v>8835</v>
      </c>
      <c r="L35" s="23">
        <f>[2]Base!DZ35</f>
        <v>10359</v>
      </c>
      <c r="M35" s="24">
        <f>[2]Base!AO35</f>
        <v>885767328</v>
      </c>
      <c r="N35" s="24">
        <f>[2]Base!AP35</f>
        <v>0</v>
      </c>
      <c r="O35" s="24">
        <f>[2]Base!AQ35</f>
        <v>885767328</v>
      </c>
      <c r="P35" s="24">
        <f>+[2]Base!ED35</f>
        <v>399228074.09744442</v>
      </c>
      <c r="Q35" s="157">
        <f>'[1]SITE (Imprensa)_PT'!P35</f>
        <v>8.2878378643471487E-2</v>
      </c>
      <c r="R35" s="157">
        <f>'[1]SITE (Imprensa)_PT'!Q35</f>
        <v>0.18421603376185941</v>
      </c>
      <c r="S35" s="157">
        <f>'[1]SITE (Imprensa)_PT'!R35</f>
        <v>0.72297521454753866</v>
      </c>
      <c r="T35" s="158">
        <f>'[1]SITE (Imprensa)_PT'!S35</f>
        <v>9.9303730471304984E-3</v>
      </c>
      <c r="U35" s="6"/>
    </row>
    <row r="36" spans="2:21" ht="13.2" x14ac:dyDescent="0.25">
      <c r="B36" s="40" t="str">
        <f>[2]Base!A36</f>
        <v>TRACTEBEL</v>
      </c>
      <c r="C36" s="41" t="str">
        <f>[2]Base!C36</f>
        <v>NM</v>
      </c>
      <c r="D36" s="19" t="s">
        <v>60</v>
      </c>
      <c r="E36" s="19" t="str">
        <f>[2]Base!M36</f>
        <v>UBS</v>
      </c>
      <c r="F36" s="19" t="str">
        <f>[2]Base!F36</f>
        <v>FOLLOW-ON</v>
      </c>
      <c r="G36" s="19" t="str">
        <f>[2]Base!G36</f>
        <v>ICVM 400</v>
      </c>
      <c r="H36" s="20">
        <f>[2]Base!X36</f>
        <v>38693</v>
      </c>
      <c r="I36" s="21">
        <f>[2]Base!W36</f>
        <v>13</v>
      </c>
      <c r="J36" s="22">
        <f>[2]Base!J36</f>
        <v>38695</v>
      </c>
      <c r="K36" s="23">
        <f>'[1]SITE (Imprensa)_PT'!K36</f>
        <v>6351</v>
      </c>
      <c r="L36" s="23">
        <f>[2]Base!DZ36</f>
        <v>7405</v>
      </c>
      <c r="M36" s="24">
        <f>[2]Base!AO36</f>
        <v>0</v>
      </c>
      <c r="N36" s="24">
        <f>[2]Base!AP36</f>
        <v>1051700000</v>
      </c>
      <c r="O36" s="24">
        <f>[2]Base!AQ36</f>
        <v>1051700000</v>
      </c>
      <c r="P36" s="24">
        <f>+[2]Base!ED36</f>
        <v>468546734.3847456</v>
      </c>
      <c r="Q36" s="157">
        <f>'[1]SITE (Imprensa)_PT'!P36</f>
        <v>8.4687243510506799E-2</v>
      </c>
      <c r="R36" s="157">
        <f>'[1]SITE (Imprensa)_PT'!Q36</f>
        <v>0.35782385661310262</v>
      </c>
      <c r="S36" s="157">
        <f>'[1]SITE (Imprensa)_PT'!R36</f>
        <v>0.55052860321384423</v>
      </c>
      <c r="T36" s="158">
        <f>'[1]SITE (Imprensa)_PT'!S36</f>
        <v>6.9602966625463532E-3</v>
      </c>
      <c r="U36" s="6"/>
    </row>
    <row r="37" spans="2:21" ht="13.8" thickBot="1" x14ac:dyDescent="0.3">
      <c r="B37" s="30" t="str">
        <f>[2]Base!A37</f>
        <v>UOL</v>
      </c>
      <c r="C37" s="31" t="str">
        <f>[2]Base!C37</f>
        <v>N2</v>
      </c>
      <c r="D37" s="31" t="s">
        <v>74</v>
      </c>
      <c r="E37" s="52" t="str">
        <f>[2]Base!M37</f>
        <v>Merrill Lynch</v>
      </c>
      <c r="F37" s="52" t="str">
        <f>[2]Base!F37</f>
        <v>IPO</v>
      </c>
      <c r="G37" s="31" t="str">
        <f>[2]Base!G37</f>
        <v>ICVM 400</v>
      </c>
      <c r="H37" s="32">
        <f>[2]Base!X37</f>
        <v>38700</v>
      </c>
      <c r="I37" s="33">
        <f>[2]Base!W37</f>
        <v>18</v>
      </c>
      <c r="J37" s="55">
        <f>[2]Base!J37</f>
        <v>38702</v>
      </c>
      <c r="K37" s="56">
        <f>'[1]SITE (Imprensa)_PT'!K37</f>
        <v>12890</v>
      </c>
      <c r="L37" s="56">
        <f>[2]Base!DZ37</f>
        <v>14346</v>
      </c>
      <c r="M37" s="57">
        <f>[2]Base!AO37</f>
        <v>322972416</v>
      </c>
      <c r="N37" s="57">
        <f>[2]Base!AP37</f>
        <v>301708170</v>
      </c>
      <c r="O37" s="57">
        <f>[2]Base!AQ37</f>
        <v>624680586</v>
      </c>
      <c r="P37" s="57">
        <f>+[2]Base!ED37</f>
        <v>267460432.43706116</v>
      </c>
      <c r="Q37" s="159">
        <f>'[1]SITE (Imprensa)_PT'!P37</f>
        <v>7.2507475044214037E-2</v>
      </c>
      <c r="R37" s="159">
        <f>'[1]SITE (Imprensa)_PT'!Q37</f>
        <v>0.2122019588423707</v>
      </c>
      <c r="S37" s="159">
        <f>'[1]SITE (Imprensa)_PT'!R37</f>
        <v>0.70989575782974634</v>
      </c>
      <c r="T37" s="160">
        <f>'[1]SITE (Imprensa)_PT'!S37</f>
        <v>5.394808283668992E-3</v>
      </c>
      <c r="U37" s="6"/>
    </row>
    <row r="38" spans="2:21" ht="13.8" thickTop="1" x14ac:dyDescent="0.25">
      <c r="B38" s="40" t="str">
        <f>[2]Base!A38</f>
        <v>IOCHP-MAXION</v>
      </c>
      <c r="C38" s="41" t="str">
        <f>[2]Base!C38</f>
        <v>N1</v>
      </c>
      <c r="D38" s="41" t="s">
        <v>75</v>
      </c>
      <c r="E38" s="41" t="str">
        <f>[2]Base!M38</f>
        <v>Unibanco</v>
      </c>
      <c r="F38" s="107" t="str">
        <f>[2]Base!F38</f>
        <v>FOLLOW-ON</v>
      </c>
      <c r="G38" s="41" t="str">
        <f>[2]Base!G38</f>
        <v>ICVM 400</v>
      </c>
      <c r="H38" s="42">
        <f>[2]Base!X38</f>
        <v>38748</v>
      </c>
      <c r="I38" s="43">
        <f>[2]Base!W38</f>
        <v>19.25</v>
      </c>
      <c r="J38" s="163">
        <f>[2]Base!J38</f>
        <v>38750</v>
      </c>
      <c r="K38" s="164">
        <f>'[1]SITE (Imprensa)_PT'!K38</f>
        <v>6870</v>
      </c>
      <c r="L38" s="164">
        <f>[2]Base!DZ38</f>
        <v>7577</v>
      </c>
      <c r="M38" s="111">
        <f>[2]Base!AO38</f>
        <v>0</v>
      </c>
      <c r="N38" s="111">
        <f>[2]Base!AP38</f>
        <v>340203787</v>
      </c>
      <c r="O38" s="111">
        <f>[2]Base!AQ38</f>
        <v>340203787</v>
      </c>
      <c r="P38" s="111">
        <f>+[2]Base!ED38</f>
        <v>153127689.1569519</v>
      </c>
      <c r="Q38" s="161">
        <f>'[1]SITE (Imprensa)_PT'!P38</f>
        <v>0.11827067394332143</v>
      </c>
      <c r="R38" s="161">
        <f>'[1]SITE (Imprensa)_PT'!Q38</f>
        <v>0.43583619318392341</v>
      </c>
      <c r="S38" s="161">
        <f>'[1]SITE (Imprensa)_PT'!R38</f>
        <v>0.41675699151746798</v>
      </c>
      <c r="T38" s="162">
        <f>'[1]SITE (Imprensa)_PT'!S38</f>
        <v>2.9136141355287172E-2</v>
      </c>
      <c r="U38" s="6"/>
    </row>
    <row r="39" spans="2:21" ht="13.2" x14ac:dyDescent="0.25">
      <c r="B39" s="40" t="str">
        <f>[2]Base!A39</f>
        <v>COPASA</v>
      </c>
      <c r="C39" s="41" t="str">
        <f>[2]Base!C39</f>
        <v>NM</v>
      </c>
      <c r="D39" s="19" t="s">
        <v>62</v>
      </c>
      <c r="E39" s="19" t="str">
        <f>[2]Base!M39</f>
        <v>Unibanco</v>
      </c>
      <c r="F39" s="19" t="str">
        <f>[2]Base!F39</f>
        <v>IPO</v>
      </c>
      <c r="G39" s="19" t="str">
        <f>[2]Base!G39</f>
        <v>ICVM 400</v>
      </c>
      <c r="H39" s="20">
        <f>[2]Base!X39</f>
        <v>38754</v>
      </c>
      <c r="I39" s="21">
        <f>[2]Base!W39</f>
        <v>23.5</v>
      </c>
      <c r="J39" s="22">
        <f>[2]Base!J39</f>
        <v>38756</v>
      </c>
      <c r="K39" s="23">
        <f>'[1]SITE (Imprensa)_PT'!K39</f>
        <v>15465</v>
      </c>
      <c r="L39" s="23">
        <f>[2]Base!DZ39</f>
        <v>17214</v>
      </c>
      <c r="M39" s="24">
        <f>[2]Base!AO39</f>
        <v>813461524</v>
      </c>
      <c r="N39" s="24">
        <f>[2]Base!AP39</f>
        <v>0</v>
      </c>
      <c r="O39" s="24">
        <f>[2]Base!AQ39</f>
        <v>813461524</v>
      </c>
      <c r="P39" s="24">
        <f>+[2]Base!ED39</f>
        <v>370496230.64310437</v>
      </c>
      <c r="Q39" s="157">
        <f>'[1]SITE (Imprensa)_PT'!P39</f>
        <v>6.932671901025278E-2</v>
      </c>
      <c r="R39" s="157">
        <f>'[1]SITE (Imprensa)_PT'!Q39</f>
        <v>0.17995897431038177</v>
      </c>
      <c r="S39" s="157">
        <f>'[1]SITE (Imprensa)_PT'!R39</f>
        <v>0.73886237980199787</v>
      </c>
      <c r="T39" s="158">
        <f>'[1]SITE (Imprensa)_PT'!S39</f>
        <v>1.1851926877367589E-2</v>
      </c>
      <c r="U39" s="6"/>
    </row>
    <row r="40" spans="2:21" ht="13.2" x14ac:dyDescent="0.25">
      <c r="B40" s="40" t="str">
        <f>[2]Base!A40</f>
        <v>VIVAX</v>
      </c>
      <c r="C40" s="41" t="str">
        <f>[2]Base!C40</f>
        <v>N2</v>
      </c>
      <c r="D40" s="19" t="s">
        <v>76</v>
      </c>
      <c r="E40" s="19" t="str">
        <f>[2]Base!M40</f>
        <v>Itaú BBA</v>
      </c>
      <c r="F40" s="19" t="str">
        <f>[2]Base!F40</f>
        <v>IPO</v>
      </c>
      <c r="G40" s="19" t="str">
        <f>[2]Base!G40</f>
        <v>ICVM 400</v>
      </c>
      <c r="H40" s="20">
        <f>[2]Base!X40</f>
        <v>38754</v>
      </c>
      <c r="I40" s="21">
        <f>[2]Base!W40</f>
        <v>24.5</v>
      </c>
      <c r="J40" s="22">
        <f>[2]Base!J40</f>
        <v>38756</v>
      </c>
      <c r="K40" s="23">
        <f>'[1]SITE (Imprensa)_PT'!K40</f>
        <v>7730</v>
      </c>
      <c r="L40" s="23">
        <f>[2]Base!DZ40</f>
        <v>9017</v>
      </c>
      <c r="M40" s="24">
        <f>[2]Base!AO40</f>
        <v>58800000</v>
      </c>
      <c r="N40" s="24">
        <f>[2]Base!AP40</f>
        <v>470400000</v>
      </c>
      <c r="O40" s="24">
        <f>[2]Base!AQ40</f>
        <v>529200000</v>
      </c>
      <c r="P40" s="24">
        <f>+[2]Base!ED40</f>
        <v>241027509.56458369</v>
      </c>
      <c r="Q40" s="157">
        <f>'[1]SITE (Imprensa)_PT'!P40</f>
        <v>7.7384722222222216E-2</v>
      </c>
      <c r="R40" s="157">
        <f>'[1]SITE (Imprensa)_PT'!Q40</f>
        <v>0.22933722222222222</v>
      </c>
      <c r="S40" s="157">
        <f>'[1]SITE (Imprensa)_PT'!R40</f>
        <v>0.68627736111111115</v>
      </c>
      <c r="T40" s="158">
        <f>'[1]SITE (Imprensa)_PT'!S40</f>
        <v>7.0006944444444448E-3</v>
      </c>
      <c r="U40" s="6"/>
    </row>
    <row r="41" spans="2:21" ht="13.2" x14ac:dyDescent="0.25">
      <c r="B41" s="40" t="str">
        <f>[2]Base!A41</f>
        <v>ROSSI RESID</v>
      </c>
      <c r="C41" s="41" t="str">
        <f>[2]Base!C41</f>
        <v>NM</v>
      </c>
      <c r="D41" s="19" t="s">
        <v>77</v>
      </c>
      <c r="E41" s="19" t="str">
        <f>[2]Base!M41</f>
        <v>Credit Suisse</v>
      </c>
      <c r="F41" s="19" t="str">
        <f>[2]Base!F41</f>
        <v>FOLLOW-ON</v>
      </c>
      <c r="G41" s="19" t="str">
        <f>[2]Base!G41</f>
        <v>ICVM 400</v>
      </c>
      <c r="H41" s="20">
        <f>[2]Base!X41</f>
        <v>38761</v>
      </c>
      <c r="I41" s="21">
        <f>[2]Base!W41</f>
        <v>25</v>
      </c>
      <c r="J41" s="22">
        <f>[2]Base!J41</f>
        <v>38763</v>
      </c>
      <c r="K41" s="23">
        <f>'[1]SITE (Imprensa)_PT'!K41</f>
        <v>3348</v>
      </c>
      <c r="L41" s="23">
        <f>[2]Base!DZ41</f>
        <v>3989</v>
      </c>
      <c r="M41" s="24">
        <f>[2]Base!AO41</f>
        <v>762500000</v>
      </c>
      <c r="N41" s="24">
        <f>[2]Base!AP41</f>
        <v>250000000</v>
      </c>
      <c r="O41" s="24">
        <f>[2]Base!AQ41</f>
        <v>1012500000</v>
      </c>
      <c r="P41" s="24">
        <f>+[2]Base!ED41</f>
        <v>472358292.51224631</v>
      </c>
      <c r="Q41" s="157">
        <f>'[1]SITE (Imprensa)_PT'!P41</f>
        <v>7.2594839506172834E-2</v>
      </c>
      <c r="R41" s="157">
        <f>'[1]SITE (Imprensa)_PT'!Q41</f>
        <v>0.12092846913580246</v>
      </c>
      <c r="S41" s="157">
        <f>'[1]SITE (Imprensa)_PT'!R41</f>
        <v>0.80292745679012345</v>
      </c>
      <c r="T41" s="158">
        <f>'[1]SITE (Imprensa)_PT'!S41</f>
        <v>3.5492345679012344E-3</v>
      </c>
      <c r="U41" s="6"/>
    </row>
    <row r="42" spans="2:21" ht="13.2" x14ac:dyDescent="0.25">
      <c r="B42" s="40" t="str">
        <f>[2]Base!A42</f>
        <v>GAFISA</v>
      </c>
      <c r="C42" s="41" t="str">
        <f>[2]Base!C42</f>
        <v>NM</v>
      </c>
      <c r="D42" s="19" t="s">
        <v>77</v>
      </c>
      <c r="E42" s="19" t="str">
        <f>[2]Base!M42</f>
        <v>Merrill Lynch</v>
      </c>
      <c r="F42" s="19" t="str">
        <f>[2]Base!F42</f>
        <v>IPO</v>
      </c>
      <c r="G42" s="19" t="str">
        <f>[2]Base!G42</f>
        <v>ICVM 400</v>
      </c>
      <c r="H42" s="20">
        <f>[2]Base!X42</f>
        <v>38764</v>
      </c>
      <c r="I42" s="21">
        <f>[2]Base!W42</f>
        <v>18.5</v>
      </c>
      <c r="J42" s="22">
        <f>[2]Base!J42</f>
        <v>38765</v>
      </c>
      <c r="K42" s="23">
        <f>'[1]SITE (Imprensa)_PT'!K42</f>
        <v>13753</v>
      </c>
      <c r="L42" s="23">
        <f>[2]Base!DZ42</f>
        <v>15560</v>
      </c>
      <c r="M42" s="24">
        <f>[2]Base!AO42</f>
        <v>494394000</v>
      </c>
      <c r="N42" s="24">
        <f>[2]Base!AP42</f>
        <v>432594750</v>
      </c>
      <c r="O42" s="24">
        <f>[2]Base!AQ42</f>
        <v>926988750</v>
      </c>
      <c r="P42" s="24">
        <f>+[2]Base!ED42</f>
        <v>437547790.99405271</v>
      </c>
      <c r="Q42" s="157">
        <f>'[1]SITE (Imprensa)_PT'!P42</f>
        <v>8.964815646360326E-2</v>
      </c>
      <c r="R42" s="157">
        <f>'[1]SITE (Imprensa)_PT'!Q42</f>
        <v>0.17935019707628599</v>
      </c>
      <c r="S42" s="157">
        <f>'[1]SITE (Imprensa)_PT'!R42</f>
        <v>0.72243095345008235</v>
      </c>
      <c r="T42" s="158">
        <f>'[1]SITE (Imprensa)_PT'!S42</f>
        <v>8.5706930100284389E-3</v>
      </c>
      <c r="U42" s="6"/>
    </row>
    <row r="43" spans="2:21" ht="13.2" x14ac:dyDescent="0.25">
      <c r="B43" s="40" t="str">
        <f>[2]Base!A43</f>
        <v>COMPANY</v>
      </c>
      <c r="C43" s="41" t="str">
        <f>[2]Base!C43</f>
        <v>NM</v>
      </c>
      <c r="D43" s="19" t="s">
        <v>77</v>
      </c>
      <c r="E43" s="19" t="str">
        <f>[2]Base!M43</f>
        <v>ABN Amro</v>
      </c>
      <c r="F43" s="19" t="str">
        <f>[2]Base!F43</f>
        <v>IPO</v>
      </c>
      <c r="G43" s="19" t="str">
        <f>[2]Base!G43</f>
        <v>ICVM 400</v>
      </c>
      <c r="H43" s="20">
        <f>[2]Base!X43</f>
        <v>38771</v>
      </c>
      <c r="I43" s="21">
        <f>[2]Base!W43</f>
        <v>16</v>
      </c>
      <c r="J43" s="22">
        <f>[2]Base!J43</f>
        <v>38778</v>
      </c>
      <c r="K43" s="23">
        <f>'[1]SITE (Imprensa)_PT'!K43</f>
        <v>12903</v>
      </c>
      <c r="L43" s="23">
        <f>[2]Base!DZ43</f>
        <v>13701</v>
      </c>
      <c r="M43" s="24">
        <f>[2]Base!AO43</f>
        <v>208000000</v>
      </c>
      <c r="N43" s="24">
        <f>[2]Base!AP43</f>
        <v>73600000</v>
      </c>
      <c r="O43" s="24">
        <f>[2]Base!AQ43</f>
        <v>281600000</v>
      </c>
      <c r="P43" s="24">
        <f>+[2]Base!ED43</f>
        <v>133245008.04391029</v>
      </c>
      <c r="Q43" s="157">
        <f>'[1]SITE (Imprensa)_PT'!P43</f>
        <v>9.2559488636363638E-2</v>
      </c>
      <c r="R43" s="157">
        <f>'[1]SITE (Imprensa)_PT'!Q43</f>
        <v>0.26853977272727275</v>
      </c>
      <c r="S43" s="157">
        <f>'[1]SITE (Imprensa)_PT'!R43</f>
        <v>0.63618750000000002</v>
      </c>
      <c r="T43" s="158">
        <f>'[1]SITE (Imprensa)_PT'!S43</f>
        <v>2.7132386363636365E-3</v>
      </c>
      <c r="U43" s="6"/>
    </row>
    <row r="44" spans="2:21" ht="13.2" x14ac:dyDescent="0.25">
      <c r="B44" s="40" t="str">
        <f>[2]Base!A44</f>
        <v>TOTVS</v>
      </c>
      <c r="C44" s="41" t="str">
        <f>[2]Base!C44</f>
        <v>NM</v>
      </c>
      <c r="D44" s="19" t="s">
        <v>78</v>
      </c>
      <c r="E44" s="19" t="str">
        <f>[2]Base!M44</f>
        <v>Itaú BBA</v>
      </c>
      <c r="F44" s="19" t="str">
        <f>[2]Base!F44</f>
        <v>IPO</v>
      </c>
      <c r="G44" s="19" t="str">
        <f>[2]Base!G44</f>
        <v>ICVM 400</v>
      </c>
      <c r="H44" s="20">
        <f>[2]Base!X44</f>
        <v>38783</v>
      </c>
      <c r="I44" s="21">
        <f>[2]Base!W44</f>
        <v>32</v>
      </c>
      <c r="J44" s="22">
        <f>[2]Base!J44</f>
        <v>38785</v>
      </c>
      <c r="K44" s="23">
        <f>'[1]SITE (Imprensa)_PT'!K44</f>
        <v>16017</v>
      </c>
      <c r="L44" s="23">
        <f>[2]Base!DZ44</f>
        <v>17600</v>
      </c>
      <c r="M44" s="24">
        <f>[2]Base!AO44</f>
        <v>344800000</v>
      </c>
      <c r="N44" s="24">
        <f>[2]Base!AP44</f>
        <v>115200000</v>
      </c>
      <c r="O44" s="24">
        <f>[2]Base!AQ44</f>
        <v>460000000</v>
      </c>
      <c r="P44" s="24">
        <f>+[2]Base!ED44</f>
        <v>212962962.96296296</v>
      </c>
      <c r="Q44" s="157">
        <f>'[1]SITE (Imprensa)_PT'!P44</f>
        <v>8.8108173913043472E-2</v>
      </c>
      <c r="R44" s="157">
        <f>'[1]SITE (Imprensa)_PT'!Q44</f>
        <v>0.21268459130434783</v>
      </c>
      <c r="S44" s="157">
        <f>'[1]SITE (Imprensa)_PT'!R44</f>
        <v>0.69445808695652178</v>
      </c>
      <c r="T44" s="158">
        <f>'[1]SITE (Imprensa)_PT'!S44</f>
        <v>4.7491478260869562E-3</v>
      </c>
      <c r="U44" s="6"/>
    </row>
    <row r="45" spans="2:21" ht="13.2" x14ac:dyDescent="0.25">
      <c r="B45" s="40" t="str">
        <f>[2]Base!A45</f>
        <v>TAM S/A</v>
      </c>
      <c r="C45" s="41" t="str">
        <f>[2]Base!C45</f>
        <v>N2</v>
      </c>
      <c r="D45" s="19" t="s">
        <v>56</v>
      </c>
      <c r="E45" s="19" t="str">
        <f>[2]Base!M45</f>
        <v>Pactual</v>
      </c>
      <c r="F45" s="19" t="str">
        <f>[2]Base!F45</f>
        <v>FOLLOW-ON</v>
      </c>
      <c r="G45" s="19" t="str">
        <f>[2]Base!G45</f>
        <v>ICVM 400</v>
      </c>
      <c r="H45" s="20">
        <f>[2]Base!X45</f>
        <v>38785</v>
      </c>
      <c r="I45" s="21">
        <f>[2]Base!W45</f>
        <v>42</v>
      </c>
      <c r="J45" s="22">
        <f>[2]Base!J45</f>
        <v>38786</v>
      </c>
      <c r="K45" s="23">
        <f>'[1]SITE (Imprensa)_PT'!K45</f>
        <v>3510</v>
      </c>
      <c r="L45" s="23">
        <f>[2]Base!DZ45</f>
        <v>3891</v>
      </c>
      <c r="M45" s="24">
        <f>[2]Base!AO45</f>
        <v>273162918</v>
      </c>
      <c r="N45" s="24">
        <f>[2]Base!AP45</f>
        <v>1285960116</v>
      </c>
      <c r="O45" s="24">
        <f>[2]Base!AQ45</f>
        <v>1559123034</v>
      </c>
      <c r="P45" s="24">
        <f>+[2]Base!ED45</f>
        <v>728562165.42056072</v>
      </c>
      <c r="Q45" s="157">
        <f>'[1]SITE (Imprensa)_PT'!P45</f>
        <v>3.5161401866052801E-2</v>
      </c>
      <c r="R45" s="157">
        <f>'[1]SITE (Imprensa)_PT'!Q45</f>
        <v>0.19000637598312647</v>
      </c>
      <c r="S45" s="157">
        <f>'[1]SITE (Imprensa)_PT'!R45</f>
        <v>0.77077014116993636</v>
      </c>
      <c r="T45" s="158">
        <f>'[1]SITE (Imprensa)_PT'!S45</f>
        <v>4.0620809808843417E-3</v>
      </c>
      <c r="U45" s="6"/>
    </row>
    <row r="46" spans="2:21" ht="13.2" x14ac:dyDescent="0.25">
      <c r="B46" s="40" t="str">
        <f>[2]Base!A46</f>
        <v>DASA</v>
      </c>
      <c r="C46" s="41" t="str">
        <f>[2]Base!C46</f>
        <v>NM</v>
      </c>
      <c r="D46" s="19" t="s">
        <v>63</v>
      </c>
      <c r="E46" s="19" t="str">
        <f>[2]Base!M46</f>
        <v>UBS</v>
      </c>
      <c r="F46" s="19" t="str">
        <f>[2]Base!F46</f>
        <v>FOLLOW-ON</v>
      </c>
      <c r="G46" s="19" t="str">
        <f>[2]Base!G46</f>
        <v>ICVM 400</v>
      </c>
      <c r="H46" s="20">
        <f>[2]Base!X46</f>
        <v>38798</v>
      </c>
      <c r="I46" s="21">
        <f>[2]Base!W46</f>
        <v>49</v>
      </c>
      <c r="J46" s="22">
        <f>[2]Base!J46</f>
        <v>38800</v>
      </c>
      <c r="K46" s="23">
        <f>'[1]SITE (Imprensa)_PT'!K46</f>
        <v>2063</v>
      </c>
      <c r="L46" s="23">
        <f>[2]Base!DZ46</f>
        <v>2308</v>
      </c>
      <c r="M46" s="24">
        <f>[2]Base!AO46</f>
        <v>185955000</v>
      </c>
      <c r="N46" s="24">
        <f>[2]Base!AP46</f>
        <v>476428274</v>
      </c>
      <c r="O46" s="24">
        <f>[2]Base!AQ46</f>
        <v>662383274</v>
      </c>
      <c r="P46" s="24">
        <f>+[2]Base!ED46</f>
        <v>306658923.14814812</v>
      </c>
      <c r="Q46" s="157">
        <f>'[1]SITE (Imprensa)_PT'!P46</f>
        <v>3.5627391159034613E-2</v>
      </c>
      <c r="R46" s="157">
        <f>'[1]SITE (Imprensa)_PT'!Q46</f>
        <v>0.10744068697604221</v>
      </c>
      <c r="S46" s="157">
        <f>'[1]SITE (Imprensa)_PT'!R46</f>
        <v>0.84918803973302015</v>
      </c>
      <c r="T46" s="158">
        <f>'[1]SITE (Imprensa)_PT'!S46</f>
        <v>7.7438821319029865E-3</v>
      </c>
      <c r="U46" s="6"/>
    </row>
    <row r="47" spans="2:21" ht="13.2" x14ac:dyDescent="0.25">
      <c r="B47" s="40" t="str">
        <f>[2]Base!A47</f>
        <v>EQUATORIAL</v>
      </c>
      <c r="C47" s="41" t="str">
        <f>[2]Base!C47</f>
        <v>N2</v>
      </c>
      <c r="D47" s="19" t="s">
        <v>60</v>
      </c>
      <c r="E47" s="19" t="str">
        <f>[2]Base!M47</f>
        <v>Credit Suisse</v>
      </c>
      <c r="F47" s="19" t="str">
        <f>[2]Base!F47</f>
        <v>IPO</v>
      </c>
      <c r="G47" s="19" t="str">
        <f>[2]Base!G47</f>
        <v>ICVM 400</v>
      </c>
      <c r="H47" s="20">
        <f>[2]Base!X47</f>
        <v>38806</v>
      </c>
      <c r="I47" s="21">
        <f>[2]Base!W47</f>
        <v>14.5</v>
      </c>
      <c r="J47" s="22">
        <f>[2]Base!J47</f>
        <v>38810</v>
      </c>
      <c r="K47" s="23">
        <f>'[1]SITE (Imprensa)_PT'!K47</f>
        <v>7365</v>
      </c>
      <c r="L47" s="23">
        <f>[2]Base!DZ47</f>
        <v>7886</v>
      </c>
      <c r="M47" s="24">
        <f>[2]Base!AO47</f>
        <v>185600000</v>
      </c>
      <c r="N47" s="24">
        <f>[2]Base!AP47</f>
        <v>354670000</v>
      </c>
      <c r="O47" s="24">
        <f>[2]Base!AQ47</f>
        <v>540270000</v>
      </c>
      <c r="P47" s="24">
        <f>+[2]Base!ED47</f>
        <v>251288372.09302327</v>
      </c>
      <c r="Q47" s="157">
        <f>'[1]SITE (Imprensa)_PT'!P47</f>
        <v>8.6677482555018781E-2</v>
      </c>
      <c r="R47" s="157">
        <f>'[1]SITE (Imprensa)_PT'!Q47</f>
        <v>0.14472147074610842</v>
      </c>
      <c r="S47" s="157">
        <f>'[1]SITE (Imprensa)_PT'!R47</f>
        <v>0.7664336822329576</v>
      </c>
      <c r="T47" s="158">
        <f>'[1]SITE (Imprensa)_PT'!S47</f>
        <v>2.1673644659151907E-3</v>
      </c>
      <c r="U47" s="6"/>
    </row>
    <row r="48" spans="2:21" ht="13.2" x14ac:dyDescent="0.25">
      <c r="B48" s="40" t="str">
        <f>[2]Base!A48</f>
        <v>SARAIVA LIVR</v>
      </c>
      <c r="C48" s="41" t="str">
        <f>[2]Base!C48</f>
        <v>N2</v>
      </c>
      <c r="D48" s="19" t="s">
        <v>79</v>
      </c>
      <c r="E48" s="19" t="str">
        <f>[2]Base!M48</f>
        <v>Santander</v>
      </c>
      <c r="F48" s="19" t="str">
        <f>[2]Base!F48</f>
        <v>FOLLOW-ON</v>
      </c>
      <c r="G48" s="19" t="str">
        <f>[2]Base!G48</f>
        <v>ICVM 400</v>
      </c>
      <c r="H48" s="20">
        <f>[2]Base!X48</f>
        <v>38818</v>
      </c>
      <c r="I48" s="21">
        <f>[2]Base!W48</f>
        <v>22</v>
      </c>
      <c r="J48" s="22">
        <f>[2]Base!J48</f>
        <v>38820</v>
      </c>
      <c r="K48" s="23">
        <f>'[1]SITE (Imprensa)_PT'!K48</f>
        <v>5976</v>
      </c>
      <c r="L48" s="23">
        <f>[2]Base!DZ48</f>
        <v>6226</v>
      </c>
      <c r="M48" s="24">
        <f>[2]Base!AO48</f>
        <v>66000000</v>
      </c>
      <c r="N48" s="24">
        <f>[2]Base!AP48</f>
        <v>116599230</v>
      </c>
      <c r="O48" s="24">
        <f>[2]Base!AQ48</f>
        <v>182599230</v>
      </c>
      <c r="P48" s="24">
        <f>+[2]Base!ED48</f>
        <v>85326742.9906542</v>
      </c>
      <c r="Q48" s="157">
        <f>'[1]SITE (Imprensa)_PT'!P48</f>
        <v>8.3145727260507118E-2</v>
      </c>
      <c r="R48" s="157">
        <f>'[1]SITE (Imprensa)_PT'!Q48</f>
        <v>0.16557334615865185</v>
      </c>
      <c r="S48" s="157">
        <f>'[1]SITE (Imprensa)_PT'!R48</f>
        <v>0.74989997325251612</v>
      </c>
      <c r="T48" s="158">
        <f>'[1]SITE (Imprensa)_PT'!S48</f>
        <v>1.3809533283248906E-3</v>
      </c>
      <c r="U48" s="6"/>
    </row>
    <row r="49" spans="2:21" ht="13.2" x14ac:dyDescent="0.25">
      <c r="B49" s="40" t="str">
        <f>[2]Base!A49</f>
        <v>DURATEX</v>
      </c>
      <c r="C49" s="41" t="str">
        <f>[2]Base!C49</f>
        <v>N1</v>
      </c>
      <c r="D49" s="19" t="s">
        <v>80</v>
      </c>
      <c r="E49" s="19" t="str">
        <f>[2]Base!M49</f>
        <v>Itaú BBA</v>
      </c>
      <c r="F49" s="19" t="str">
        <f>[2]Base!F49</f>
        <v>FOLLOW-ON</v>
      </c>
      <c r="G49" s="19" t="str">
        <f>[2]Base!G49</f>
        <v>ICVM 400</v>
      </c>
      <c r="H49" s="20">
        <f>[2]Base!X49</f>
        <v>38818</v>
      </c>
      <c r="I49" s="21">
        <f>[2]Base!W49</f>
        <v>43.5</v>
      </c>
      <c r="J49" s="22">
        <f>[2]Base!J49</f>
        <v>38820</v>
      </c>
      <c r="K49" s="23">
        <f>'[1]SITE (Imprensa)_PT'!K49</f>
        <v>4291</v>
      </c>
      <c r="L49" s="23">
        <f>[2]Base!DZ49</f>
        <v>4842</v>
      </c>
      <c r="M49" s="24">
        <f>[2]Base!AO49</f>
        <v>195750000</v>
      </c>
      <c r="N49" s="24">
        <f>[2]Base!AP49</f>
        <v>413250000</v>
      </c>
      <c r="O49" s="24">
        <f>[2]Base!AQ49</f>
        <v>609000000</v>
      </c>
      <c r="P49" s="24">
        <f>+[2]Base!ED49</f>
        <v>284579439.25233644</v>
      </c>
      <c r="Q49" s="157">
        <f>'[1]SITE (Imprensa)_PT'!P49</f>
        <v>6.1074571428571429E-2</v>
      </c>
      <c r="R49" s="157">
        <f>'[1]SITE (Imprensa)_PT'!Q49</f>
        <v>0.15003042857142856</v>
      </c>
      <c r="S49" s="157">
        <f>'[1]SITE (Imprensa)_PT'!R49</f>
        <v>0.46428285714285716</v>
      </c>
      <c r="T49" s="158">
        <f>'[1]SITE (Imprensa)_PT'!S49</f>
        <v>0.32461214285714285</v>
      </c>
      <c r="U49" s="6"/>
    </row>
    <row r="50" spans="2:21" ht="13.2" x14ac:dyDescent="0.25">
      <c r="B50" s="40" t="str">
        <f>[2]Base!A50</f>
        <v>SUBMARINO</v>
      </c>
      <c r="C50" s="41" t="str">
        <f>[2]Base!C50</f>
        <v>NM</v>
      </c>
      <c r="D50" s="19" t="s">
        <v>69</v>
      </c>
      <c r="E50" s="19" t="str">
        <f>[2]Base!M50</f>
        <v>Credit Suisse</v>
      </c>
      <c r="F50" s="19" t="str">
        <f>[2]Base!F50</f>
        <v>FOLLOW-ON</v>
      </c>
      <c r="G50" s="19" t="str">
        <f>[2]Base!G50</f>
        <v>ICVM 400</v>
      </c>
      <c r="H50" s="20">
        <f>[2]Base!X50</f>
        <v>38819</v>
      </c>
      <c r="I50" s="21">
        <f>[2]Base!W50</f>
        <v>53.75</v>
      </c>
      <c r="J50" s="22">
        <f>[2]Base!J50</f>
        <v>38824</v>
      </c>
      <c r="K50" s="23">
        <f>'[1]SITE (Imprensa)_PT'!K50</f>
        <v>0</v>
      </c>
      <c r="L50" s="23">
        <f>[2]Base!DZ50</f>
        <v>140</v>
      </c>
      <c r="M50" s="24">
        <f>[2]Base!AO50</f>
        <v>291506030</v>
      </c>
      <c r="N50" s="24">
        <f>[2]Base!AP50</f>
        <v>637570890</v>
      </c>
      <c r="O50" s="24">
        <f>[2]Base!AQ50</f>
        <v>929076920</v>
      </c>
      <c r="P50" s="24">
        <f>+[2]Base!ED50</f>
        <v>435450374.95313084</v>
      </c>
      <c r="Q50" s="157">
        <f>'[1]SITE (Imprensa)_PT'!P50</f>
        <v>3.3927445066147307E-4</v>
      </c>
      <c r="R50" s="157">
        <f>'[1]SITE (Imprensa)_PT'!Q50</f>
        <v>9.9578086343737576E-2</v>
      </c>
      <c r="S50" s="157">
        <f>'[1]SITE (Imprensa)_PT'!R50</f>
        <v>0.8999848821604951</v>
      </c>
      <c r="T50" s="158">
        <f>'[1]SITE (Imprensa)_PT'!S50</f>
        <v>9.7757045105848167E-5</v>
      </c>
      <c r="U50" s="6"/>
    </row>
    <row r="51" spans="2:21" ht="13.2" x14ac:dyDescent="0.25">
      <c r="B51" s="40" t="str">
        <f>[2]Base!A51</f>
        <v>LOCALIZA</v>
      </c>
      <c r="C51" s="41" t="str">
        <f>[2]Base!C51</f>
        <v>NM</v>
      </c>
      <c r="D51" s="19" t="s">
        <v>71</v>
      </c>
      <c r="E51" s="19" t="str">
        <f>[2]Base!M51</f>
        <v>Pactual</v>
      </c>
      <c r="F51" s="19" t="str">
        <f>[2]Base!F51</f>
        <v>FOLLOW-ON</v>
      </c>
      <c r="G51" s="19" t="str">
        <f>[2]Base!G51</f>
        <v>ICVM 400</v>
      </c>
      <c r="H51" s="20">
        <f>[2]Base!X51</f>
        <v>38826</v>
      </c>
      <c r="I51" s="21">
        <f>[2]Base!W51</f>
        <v>41</v>
      </c>
      <c r="J51" s="22">
        <f>[2]Base!J51</f>
        <v>38827</v>
      </c>
      <c r="K51" s="23">
        <f>'[1]SITE (Imprensa)_PT'!K51</f>
        <v>2514</v>
      </c>
      <c r="L51" s="23">
        <f>[2]Base!DZ51</f>
        <v>2959</v>
      </c>
      <c r="M51" s="24">
        <f>[2]Base!AO51</f>
        <v>156825000</v>
      </c>
      <c r="N51" s="24">
        <f>[2]Base!AP51</f>
        <v>237214274</v>
      </c>
      <c r="O51" s="24">
        <f>[2]Base!AQ51</f>
        <v>394039274</v>
      </c>
      <c r="P51" s="24">
        <f>+[2]Base!ED51</f>
        <v>185552492.93652287</v>
      </c>
      <c r="Q51" s="157">
        <f>'[1]SITE (Imprensa)_PT'!P51</f>
        <v>8.3502224704636932E-2</v>
      </c>
      <c r="R51" s="157">
        <f>'[1]SITE (Imprensa)_PT'!Q51</f>
        <v>0.17417925452781136</v>
      </c>
      <c r="S51" s="157">
        <f>'[1]SITE (Imprensa)_PT'!R51</f>
        <v>0.7360311627211048</v>
      </c>
      <c r="T51" s="158">
        <f>'[1]SITE (Imprensa)_PT'!S51</f>
        <v>6.287358046446913E-3</v>
      </c>
      <c r="U51" s="6"/>
    </row>
    <row r="52" spans="2:21" ht="13.2" x14ac:dyDescent="0.25">
      <c r="B52" s="40" t="str">
        <f>[2]Base!A52</f>
        <v>ABNOTE</v>
      </c>
      <c r="C52" s="41" t="str">
        <f>[2]Base!C52</f>
        <v>NM</v>
      </c>
      <c r="D52" s="19" t="s">
        <v>81</v>
      </c>
      <c r="E52" s="19" t="str">
        <f>[2]Base!M52</f>
        <v>UBS</v>
      </c>
      <c r="F52" s="19" t="str">
        <f>[2]Base!F52</f>
        <v>IPO</v>
      </c>
      <c r="G52" s="19" t="str">
        <f>[2]Base!G52</f>
        <v>ICVM 400</v>
      </c>
      <c r="H52" s="20">
        <f>[2]Base!X52</f>
        <v>38832</v>
      </c>
      <c r="I52" s="21">
        <f>[2]Base!W52</f>
        <v>17</v>
      </c>
      <c r="J52" s="22">
        <f>[2]Base!J52</f>
        <v>38834</v>
      </c>
      <c r="K52" s="23">
        <f>'[1]SITE (Imprensa)_PT'!K52</f>
        <v>15132</v>
      </c>
      <c r="L52" s="23">
        <f>[2]Base!DZ52</f>
        <v>16861</v>
      </c>
      <c r="M52" s="24">
        <f>[2]Base!AO52</f>
        <v>0</v>
      </c>
      <c r="N52" s="24">
        <f>[2]Base!AP52</f>
        <v>480434790</v>
      </c>
      <c r="O52" s="24">
        <f>[2]Base!AQ52</f>
        <v>480434790</v>
      </c>
      <c r="P52" s="24">
        <f>+[2]Base!ED52</f>
        <v>227694213.2701422</v>
      </c>
      <c r="Q52" s="157">
        <f>'[1]SITE (Imprensa)_PT'!P52</f>
        <v>8.4696676923076919E-2</v>
      </c>
      <c r="R52" s="157">
        <f>'[1]SITE (Imprensa)_PT'!Q52</f>
        <v>0.21285553846153846</v>
      </c>
      <c r="S52" s="157">
        <f>'[1]SITE (Imprensa)_PT'!R52</f>
        <v>0.69714643076923077</v>
      </c>
      <c r="T52" s="158">
        <f>'[1]SITE (Imprensa)_PT'!S52</f>
        <v>5.3013538461538457E-3</v>
      </c>
      <c r="U52" s="6"/>
    </row>
    <row r="53" spans="2:21" ht="13.2" x14ac:dyDescent="0.25">
      <c r="B53" s="40" t="str">
        <f>[2]Base!A53</f>
        <v>RANDON PART</v>
      </c>
      <c r="C53" s="41" t="str">
        <f>[2]Base!C53</f>
        <v>N1</v>
      </c>
      <c r="D53" s="19" t="s">
        <v>75</v>
      </c>
      <c r="E53" s="19" t="str">
        <f>[2]Base!M53</f>
        <v>Santander</v>
      </c>
      <c r="F53" s="19" t="str">
        <f>[2]Base!F53</f>
        <v>FOLLOW-ON</v>
      </c>
      <c r="G53" s="19" t="str">
        <f>[2]Base!G53</f>
        <v>ICVM 400</v>
      </c>
      <c r="H53" s="20">
        <f>[2]Base!X53</f>
        <v>38833</v>
      </c>
      <c r="I53" s="21">
        <f>[2]Base!W53</f>
        <v>8.25</v>
      </c>
      <c r="J53" s="22">
        <f>[2]Base!J53</f>
        <v>38835</v>
      </c>
      <c r="K53" s="23">
        <f>'[1]SITE (Imprensa)_PT'!K53</f>
        <v>4084</v>
      </c>
      <c r="L53" s="23">
        <f>[2]Base!DZ53</f>
        <v>4335</v>
      </c>
      <c r="M53" s="24">
        <f>[2]Base!AO53</f>
        <v>99000000</v>
      </c>
      <c r="N53" s="24">
        <f>[2]Base!AP53</f>
        <v>136200207</v>
      </c>
      <c r="O53" s="24">
        <f>[2]Base!AQ53</f>
        <v>235200207</v>
      </c>
      <c r="P53" s="24">
        <f>+[2]Base!ED53</f>
        <v>112535984.21052632</v>
      </c>
      <c r="Q53" s="157">
        <f>'[1]SITE (Imprensa)_PT'!P53</f>
        <v>0.11253085449538529</v>
      </c>
      <c r="R53" s="157">
        <f>'[1]SITE (Imprensa)_PT'!Q53</f>
        <v>0.23322481290916422</v>
      </c>
      <c r="S53" s="157">
        <f>'[1]SITE (Imprensa)_PT'!R53</f>
        <v>0.53813143054448742</v>
      </c>
      <c r="T53" s="158">
        <f>'[1]SITE (Imprensa)_PT'!S53</f>
        <v>0.11611290205096311</v>
      </c>
      <c r="U53" s="6"/>
    </row>
    <row r="54" spans="2:21" ht="13.2" x14ac:dyDescent="0.25">
      <c r="B54" s="40" t="str">
        <f>[2]Base!A54</f>
        <v>CSU CARDSYST</v>
      </c>
      <c r="C54" s="41" t="str">
        <f>[2]Base!C54</f>
        <v>NM</v>
      </c>
      <c r="D54" s="19" t="s">
        <v>81</v>
      </c>
      <c r="E54" s="19" t="str">
        <f>[2]Base!M54</f>
        <v>Credit Suisse</v>
      </c>
      <c r="F54" s="19" t="str">
        <f>[2]Base!F54</f>
        <v>IPO</v>
      </c>
      <c r="G54" s="19" t="str">
        <f>[2]Base!G54</f>
        <v>ICVM 400</v>
      </c>
      <c r="H54" s="20">
        <f>[2]Base!X54</f>
        <v>38834</v>
      </c>
      <c r="I54" s="21">
        <f>[2]Base!W54</f>
        <v>18</v>
      </c>
      <c r="J54" s="22">
        <f>[2]Base!J54</f>
        <v>38839</v>
      </c>
      <c r="K54" s="23">
        <f>'[1]SITE (Imprensa)_PT'!K54</f>
        <v>14362</v>
      </c>
      <c r="L54" s="23">
        <f>[2]Base!DZ54</f>
        <v>15585</v>
      </c>
      <c r="M54" s="24">
        <f>[2]Base!AO54</f>
        <v>100288746</v>
      </c>
      <c r="N54" s="24">
        <f>[2]Base!AP54</f>
        <v>240683832</v>
      </c>
      <c r="O54" s="24">
        <f>[2]Base!AQ54</f>
        <v>340972578</v>
      </c>
      <c r="P54" s="24">
        <f>+[2]Base!ED54</f>
        <v>164721052.17391306</v>
      </c>
      <c r="Q54" s="157">
        <f>'[1]SITE (Imprensa)_PT'!P54</f>
        <v>8.5677526706202378E-2</v>
      </c>
      <c r="R54" s="157">
        <f>'[1]SITE (Imprensa)_PT'!Q54</f>
        <v>0.1551682562704737</v>
      </c>
      <c r="S54" s="157">
        <f>'[1]SITE (Imprensa)_PT'!R54</f>
        <v>0.72076162534780119</v>
      </c>
      <c r="T54" s="158">
        <f>'[1]SITE (Imprensa)_PT'!S54</f>
        <v>3.8392591675522794E-2</v>
      </c>
      <c r="U54" s="6"/>
    </row>
    <row r="55" spans="2:21" ht="13.2" x14ac:dyDescent="0.25">
      <c r="B55" s="40" t="str">
        <f>[2]Base!A55</f>
        <v>BRASILAGRO</v>
      </c>
      <c r="C55" s="41" t="str">
        <f>[2]Base!C55</f>
        <v>NM</v>
      </c>
      <c r="D55" s="19" t="s">
        <v>82</v>
      </c>
      <c r="E55" s="19" t="str">
        <f>[2]Base!M55</f>
        <v>Credit Suisse</v>
      </c>
      <c r="F55" s="19" t="str">
        <f>[2]Base!F55</f>
        <v>IPO</v>
      </c>
      <c r="G55" s="19" t="str">
        <f>[2]Base!G55</f>
        <v>ICVM 400</v>
      </c>
      <c r="H55" s="20">
        <f>[2]Base!X55</f>
        <v>38834</v>
      </c>
      <c r="I55" s="21">
        <f>[2]Base!W55</f>
        <v>1000</v>
      </c>
      <c r="J55" s="22">
        <f>[2]Base!J55</f>
        <v>38839</v>
      </c>
      <c r="K55" s="23">
        <f>'[1]SITE (Imprensa)_PT'!K55</f>
        <v>3</v>
      </c>
      <c r="L55" s="23">
        <f>[2]Base!DZ55</f>
        <v>39</v>
      </c>
      <c r="M55" s="24">
        <f>[2]Base!AO55</f>
        <v>583200000</v>
      </c>
      <c r="N55" s="24">
        <f>[2]Base!AP55</f>
        <v>0</v>
      </c>
      <c r="O55" s="24">
        <f>[2]Base!AQ55</f>
        <v>583200000</v>
      </c>
      <c r="P55" s="24">
        <f>+[2]Base!ED55</f>
        <v>281739130.43478262</v>
      </c>
      <c r="Q55" s="157">
        <f>'[1]SITE (Imprensa)_PT'!P55</f>
        <v>1.5432098765432098E-3</v>
      </c>
      <c r="R55" s="157">
        <f>'[1]SITE (Imprensa)_PT'!Q55</f>
        <v>3.137860082304527E-2</v>
      </c>
      <c r="S55" s="157">
        <f>'[1]SITE (Imprensa)_PT'!R55</f>
        <v>0.82407407407407407</v>
      </c>
      <c r="T55" s="158">
        <f>'[1]SITE (Imprensa)_PT'!S55</f>
        <v>0.14300411522633744</v>
      </c>
      <c r="U55" s="6"/>
    </row>
    <row r="56" spans="2:21" ht="13.2" x14ac:dyDescent="0.25">
      <c r="B56" s="40" t="str">
        <f>[2]Base!A56</f>
        <v>LUPATECH</v>
      </c>
      <c r="C56" s="41" t="str">
        <f>[2]Base!C56</f>
        <v>NM</v>
      </c>
      <c r="D56" s="19" t="s">
        <v>58</v>
      </c>
      <c r="E56" s="19" t="str">
        <f>[2]Base!M56</f>
        <v>Pactual</v>
      </c>
      <c r="F56" s="19" t="str">
        <f>[2]Base!F56</f>
        <v>IPO</v>
      </c>
      <c r="G56" s="19" t="str">
        <f>[2]Base!G56</f>
        <v>ICVM 400</v>
      </c>
      <c r="H56" s="20">
        <f>[2]Base!X56</f>
        <v>38848</v>
      </c>
      <c r="I56" s="21">
        <f>[2]Base!W56</f>
        <v>22</v>
      </c>
      <c r="J56" s="22">
        <f>[2]Base!J56</f>
        <v>38852</v>
      </c>
      <c r="K56" s="23">
        <f>'[1]SITE (Imprensa)_PT'!K56</f>
        <v>11198</v>
      </c>
      <c r="L56" s="23">
        <f>[2]Base!DZ56</f>
        <v>12203</v>
      </c>
      <c r="M56" s="24">
        <f>[2]Base!AO56</f>
        <v>155048652</v>
      </c>
      <c r="N56" s="24">
        <f>[2]Base!AP56</f>
        <v>297691372</v>
      </c>
      <c r="O56" s="24">
        <f>[2]Base!AQ56</f>
        <v>452740024</v>
      </c>
      <c r="P56" s="24">
        <f>+[2]Base!ED56</f>
        <v>207678910.09174311</v>
      </c>
      <c r="Q56" s="157">
        <f>'[1]SITE (Imprensa)_PT'!P56</f>
        <v>7.5820524797742705E-2</v>
      </c>
      <c r="R56" s="157">
        <f>'[1]SITE (Imprensa)_PT'!Q56</f>
        <v>0.19384417844405805</v>
      </c>
      <c r="S56" s="157">
        <f>'[1]SITE (Imprensa)_PT'!R56</f>
        <v>0.72849599784880725</v>
      </c>
      <c r="T56" s="158">
        <f>'[1]SITE (Imprensa)_PT'!S56</f>
        <v>1.8392989093919383E-3</v>
      </c>
      <c r="U56" s="6"/>
    </row>
    <row r="57" spans="2:21" ht="13.2" x14ac:dyDescent="0.25">
      <c r="B57" s="40" t="str">
        <f>[2]Base!A57</f>
        <v>GP INVEST ¹</v>
      </c>
      <c r="C57" s="41" t="str">
        <f>[2]Base!C57</f>
        <v>BDR</v>
      </c>
      <c r="D57" s="19" t="s">
        <v>70</v>
      </c>
      <c r="E57" s="19" t="str">
        <f>[2]Base!M57</f>
        <v>Credit Suisse</v>
      </c>
      <c r="F57" s="19" t="str">
        <f>[2]Base!F57</f>
        <v>IPO</v>
      </c>
      <c r="G57" s="19" t="str">
        <f>[2]Base!G57</f>
        <v>ICVM 400</v>
      </c>
      <c r="H57" s="20">
        <f>[2]Base!X57</f>
        <v>38867</v>
      </c>
      <c r="I57" s="21">
        <f>[2]Base!W57</f>
        <v>34.270000000000003</v>
      </c>
      <c r="J57" s="22">
        <f>[2]Base!J57</f>
        <v>38869</v>
      </c>
      <c r="K57" s="23">
        <f>'[1]SITE (Imprensa)_PT'!K57</f>
        <v>2356</v>
      </c>
      <c r="L57" s="23">
        <f>[2]Base!DZ57</f>
        <v>2524</v>
      </c>
      <c r="M57" s="24">
        <f>[2]Base!AO57</f>
        <v>705980848.5</v>
      </c>
      <c r="N57" s="24">
        <f>[2]Base!AP57</f>
        <v>0</v>
      </c>
      <c r="O57" s="24">
        <f>[2]Base!AQ57</f>
        <v>705980848.5</v>
      </c>
      <c r="P57" s="24">
        <f>+[2]Base!ED57</f>
        <v>311004779.07488984</v>
      </c>
      <c r="Q57" s="157">
        <f>'[1]SITE (Imprensa)_PT'!P57</f>
        <v>3.9467626944223975E-2</v>
      </c>
      <c r="R57" s="157">
        <f>'[1]SITE (Imprensa)_PT'!Q57</f>
        <v>0.17410839460209149</v>
      </c>
      <c r="S57" s="157">
        <f>'[1]SITE (Imprensa)_PT'!R57</f>
        <v>0.75689507224490482</v>
      </c>
      <c r="T57" s="158">
        <f>'[1]SITE (Imprensa)_PT'!S57</f>
        <v>2.9528906208779539E-2</v>
      </c>
      <c r="U57" s="6"/>
    </row>
    <row r="58" spans="2:21" ht="13.2" x14ac:dyDescent="0.25">
      <c r="B58" s="40" t="str">
        <f>[2]Base!A58</f>
        <v>DATASUL</v>
      </c>
      <c r="C58" s="41" t="str">
        <f>[2]Base!C58</f>
        <v>NM</v>
      </c>
      <c r="D58" s="19" t="s">
        <v>78</v>
      </c>
      <c r="E58" s="19" t="str">
        <f>[2]Base!M58</f>
        <v>UBS</v>
      </c>
      <c r="F58" s="19" t="str">
        <f>[2]Base!F58</f>
        <v>IPO</v>
      </c>
      <c r="G58" s="19" t="str">
        <f>[2]Base!G58</f>
        <v>ICVM 400</v>
      </c>
      <c r="H58" s="20">
        <f>[2]Base!X58</f>
        <v>38868</v>
      </c>
      <c r="I58" s="21">
        <f>[2]Base!W58</f>
        <v>18</v>
      </c>
      <c r="J58" s="22">
        <f>[2]Base!J58</f>
        <v>38870</v>
      </c>
      <c r="K58" s="23">
        <f>'[1]SITE (Imprensa)_PT'!K58</f>
        <v>5470</v>
      </c>
      <c r="L58" s="23">
        <f>[2]Base!DZ58</f>
        <v>5973</v>
      </c>
      <c r="M58" s="24">
        <f>[2]Base!AO58</f>
        <v>150697674</v>
      </c>
      <c r="N58" s="24">
        <f>[2]Base!AP58</f>
        <v>166314834</v>
      </c>
      <c r="O58" s="24">
        <f>[2]Base!AQ58</f>
        <v>317012508</v>
      </c>
      <c r="P58" s="24">
        <f>+[2]Base!ED58</f>
        <v>140271021.23893806</v>
      </c>
      <c r="Q58" s="157">
        <f>'[1]SITE (Imprensa)_PT'!P58</f>
        <v>0.13531041986984157</v>
      </c>
      <c r="R58" s="157">
        <f>'[1]SITE (Imprensa)_PT'!Q58</f>
        <v>0.13003502633668229</v>
      </c>
      <c r="S58" s="157">
        <f>'[1]SITE (Imprensa)_PT'!R58</f>
        <v>0.71698253874368112</v>
      </c>
      <c r="T58" s="158">
        <f>'[1]SITE (Imprensa)_PT'!S58</f>
        <v>1.7672015049795001E-2</v>
      </c>
      <c r="U58" s="6"/>
    </row>
    <row r="59" spans="2:21" ht="13.2" x14ac:dyDescent="0.25">
      <c r="B59" s="40" t="str">
        <f>[2]Base!A59</f>
        <v>PORTO SEGURO</v>
      </c>
      <c r="C59" s="41" t="str">
        <f>[2]Base!C59</f>
        <v>NM</v>
      </c>
      <c r="D59" s="19" t="s">
        <v>64</v>
      </c>
      <c r="E59" s="19" t="str">
        <f>[2]Base!M59</f>
        <v>Pactual</v>
      </c>
      <c r="F59" s="19" t="str">
        <f>[2]Base!F59</f>
        <v>FOLLOW-ON</v>
      </c>
      <c r="G59" s="19" t="str">
        <f>[2]Base!G59</f>
        <v>ICVM 400</v>
      </c>
      <c r="H59" s="20">
        <f>[2]Base!X59</f>
        <v>38881</v>
      </c>
      <c r="I59" s="21">
        <f>[2]Base!W59</f>
        <v>33.5</v>
      </c>
      <c r="J59" s="22">
        <f>[2]Base!J59</f>
        <v>38882</v>
      </c>
      <c r="K59" s="23">
        <f>'[1]SITE (Imprensa)_PT'!K59</f>
        <v>272</v>
      </c>
      <c r="L59" s="23">
        <f>[2]Base!DZ59</f>
        <v>350</v>
      </c>
      <c r="M59" s="24">
        <f>[2]Base!AO59</f>
        <v>0</v>
      </c>
      <c r="N59" s="24">
        <f>[2]Base!AP59</f>
        <v>201000000</v>
      </c>
      <c r="O59" s="24">
        <f>[2]Base!AQ59</f>
        <v>201000000</v>
      </c>
      <c r="P59" s="24">
        <f>+[2]Base!ED59</f>
        <v>87984241.62836507</v>
      </c>
      <c r="Q59" s="157">
        <f>'[1]SITE (Imprensa)_PT'!P59</f>
        <v>3.1793166666666664E-2</v>
      </c>
      <c r="R59" s="157">
        <f>'[1]SITE (Imprensa)_PT'!Q59</f>
        <v>0.42966833333333332</v>
      </c>
      <c r="S59" s="157">
        <f>'[1]SITE (Imprensa)_PT'!R59</f>
        <v>0.5383</v>
      </c>
      <c r="T59" s="158">
        <f>'[1]SITE (Imprensa)_PT'!S59</f>
        <v>2.385E-4</v>
      </c>
      <c r="U59" s="6"/>
    </row>
    <row r="60" spans="2:21" ht="13.2" x14ac:dyDescent="0.25">
      <c r="B60" s="40" t="str">
        <f>[2]Base!A60</f>
        <v>BRASIL</v>
      </c>
      <c r="C60" s="41" t="str">
        <f>[2]Base!C60</f>
        <v>NM</v>
      </c>
      <c r="D60" s="19" t="s">
        <v>67</v>
      </c>
      <c r="E60" s="19" t="str">
        <f>[2]Base!M60</f>
        <v>BB Investimentos</v>
      </c>
      <c r="F60" s="19" t="str">
        <f>[2]Base!F60</f>
        <v>FOLLOW-ON</v>
      </c>
      <c r="G60" s="19" t="str">
        <f>[2]Base!G60</f>
        <v>ICVM 400</v>
      </c>
      <c r="H60" s="20">
        <f>[2]Base!X60</f>
        <v>38894</v>
      </c>
      <c r="I60" s="21">
        <f>[2]Base!W60</f>
        <v>43.5</v>
      </c>
      <c r="J60" s="22">
        <f>[2]Base!J60</f>
        <v>38896</v>
      </c>
      <c r="K60" s="23">
        <f>'[1]SITE (Imprensa)_PT'!K60</f>
        <v>48602</v>
      </c>
      <c r="L60" s="23">
        <f>[2]Base!DZ60</f>
        <v>52923</v>
      </c>
      <c r="M60" s="24">
        <f>[2]Base!AO60</f>
        <v>0</v>
      </c>
      <c r="N60" s="24">
        <f>[2]Base!AP60</f>
        <v>2273208949.5</v>
      </c>
      <c r="O60" s="24">
        <f>[2]Base!AQ60</f>
        <v>2273208949.5</v>
      </c>
      <c r="P60" s="24">
        <f>+[2]Base!ED60</f>
        <v>1021207973.7196766</v>
      </c>
      <c r="Q60" s="157">
        <f>'[1]SITE (Imprensa)_PT'!P60</f>
        <v>0.28020221794397787</v>
      </c>
      <c r="R60" s="157">
        <f>'[1]SITE (Imprensa)_PT'!Q60</f>
        <v>0.1857223963476218</v>
      </c>
      <c r="S60" s="157">
        <f>'[1]SITE (Imprensa)_PT'!R60</f>
        <v>0.5086859678052662</v>
      </c>
      <c r="T60" s="158">
        <f>'[1]SITE (Imprensa)_PT'!S60</f>
        <v>2.5389417903134117E-2</v>
      </c>
      <c r="U60" s="6"/>
    </row>
    <row r="61" spans="2:21" ht="13.2" x14ac:dyDescent="0.25">
      <c r="B61" s="40" t="str">
        <f>[2]Base!A61</f>
        <v>CYRELA REALT</v>
      </c>
      <c r="C61" s="41" t="str">
        <f>[2]Base!C61</f>
        <v>NM</v>
      </c>
      <c r="D61" s="19" t="s">
        <v>73</v>
      </c>
      <c r="E61" s="19" t="str">
        <f>[2]Base!M61</f>
        <v>Credit Suisse</v>
      </c>
      <c r="F61" s="19" t="str">
        <f>[2]Base!F61</f>
        <v>FOLLOW-ON</v>
      </c>
      <c r="G61" s="19" t="str">
        <f>[2]Base!G61</f>
        <v>ICVM 400</v>
      </c>
      <c r="H61" s="20">
        <f>[2]Base!X61</f>
        <v>38917</v>
      </c>
      <c r="I61" s="21">
        <f>[2]Base!W61</f>
        <v>29.5</v>
      </c>
      <c r="J61" s="22">
        <f>[2]Base!J61</f>
        <v>38919</v>
      </c>
      <c r="K61" s="23">
        <f>'[1]SITE (Imprensa)_PT'!K61</f>
        <v>1283</v>
      </c>
      <c r="L61" s="23">
        <f>[2]Base!DZ61</f>
        <v>1778</v>
      </c>
      <c r="M61" s="24">
        <f>[2]Base!AO61</f>
        <v>728650000</v>
      </c>
      <c r="N61" s="24">
        <f>[2]Base!AP61</f>
        <v>109297500</v>
      </c>
      <c r="O61" s="24">
        <f>[2]Base!AQ61</f>
        <v>837947500</v>
      </c>
      <c r="P61" s="24">
        <f>+[2]Base!ED61</f>
        <v>386150921.65898621</v>
      </c>
      <c r="Q61" s="157">
        <f>'[1]SITE (Imprensa)_PT'!P61</f>
        <v>3.8783664847738077E-2</v>
      </c>
      <c r="R61" s="157">
        <f>'[1]SITE (Imprensa)_PT'!Q61</f>
        <v>0.20289628586516459</v>
      </c>
      <c r="S61" s="157">
        <f>'[1]SITE (Imprensa)_PT'!R61</f>
        <v>0.75482721351874671</v>
      </c>
      <c r="T61" s="158">
        <f>'[1]SITE (Imprensa)_PT'!S61</f>
        <v>3.4928357683506423E-3</v>
      </c>
      <c r="U61" s="6"/>
    </row>
    <row r="62" spans="2:21" ht="13.2" x14ac:dyDescent="0.25">
      <c r="B62" s="40" t="str">
        <f>[2]Base!A62</f>
        <v>MMX MINER</v>
      </c>
      <c r="C62" s="41" t="str">
        <f>[2]Base!C62</f>
        <v>NM</v>
      </c>
      <c r="D62" s="19" t="s">
        <v>83</v>
      </c>
      <c r="E62" s="19" t="str">
        <f>[2]Base!M62</f>
        <v>Pactual</v>
      </c>
      <c r="F62" s="19" t="str">
        <f>[2]Base!F62</f>
        <v>IPO</v>
      </c>
      <c r="G62" s="19" t="str">
        <f>[2]Base!G62</f>
        <v>ICVM 400</v>
      </c>
      <c r="H62" s="20">
        <f>[2]Base!X62</f>
        <v>38918</v>
      </c>
      <c r="I62" s="21">
        <f>[2]Base!W62</f>
        <v>815</v>
      </c>
      <c r="J62" s="22">
        <f>[2]Base!J62</f>
        <v>38922</v>
      </c>
      <c r="K62" s="23">
        <f>'[1]SITE (Imprensa)_PT'!K62</f>
        <v>17</v>
      </c>
      <c r="L62" s="23">
        <f>[2]Base!DZ62</f>
        <v>110</v>
      </c>
      <c r="M62" s="24">
        <f>[2]Base!AO62</f>
        <v>1118895570</v>
      </c>
      <c r="N62" s="24">
        <f>[2]Base!AP62</f>
        <v>0</v>
      </c>
      <c r="O62" s="24">
        <f>[2]Base!AQ62</f>
        <v>1118895570</v>
      </c>
      <c r="P62" s="24">
        <f>+[2]Base!ED62</f>
        <v>510911219.17808223</v>
      </c>
      <c r="Q62" s="157">
        <f>'[1]SITE (Imprensa)_PT'!P62</f>
        <v>4.2011655823986317E-3</v>
      </c>
      <c r="R62" s="157">
        <f>'[1]SITE (Imprensa)_PT'!Q62</f>
        <v>0.1100774254155366</v>
      </c>
      <c r="S62" s="157">
        <f>'[1]SITE (Imprensa)_PT'!R62</f>
        <v>0.75777318940094129</v>
      </c>
      <c r="T62" s="158">
        <f>'[1]SITE (Imprensa)_PT'!S62</f>
        <v>0.12794821960112343</v>
      </c>
      <c r="U62" s="6"/>
    </row>
    <row r="63" spans="2:21" ht="13.2" x14ac:dyDescent="0.25">
      <c r="B63" s="40" t="str">
        <f>[2]Base!A63</f>
        <v>ABYARA</v>
      </c>
      <c r="C63" s="41" t="str">
        <f>[2]Base!C63</f>
        <v>NM</v>
      </c>
      <c r="D63" s="19" t="s">
        <v>77</v>
      </c>
      <c r="E63" s="19" t="str">
        <f>[2]Base!M63</f>
        <v>Morgan Stanley</v>
      </c>
      <c r="F63" s="19" t="str">
        <f>[2]Base!F63</f>
        <v>IPO</v>
      </c>
      <c r="G63" s="19" t="str">
        <f>[2]Base!G63</f>
        <v>ICVM 400</v>
      </c>
      <c r="H63" s="20">
        <f>[2]Base!X63</f>
        <v>38923</v>
      </c>
      <c r="I63" s="21">
        <f>[2]Base!W63</f>
        <v>25</v>
      </c>
      <c r="J63" s="22">
        <f>[2]Base!J63</f>
        <v>38925</v>
      </c>
      <c r="K63" s="23">
        <f>'[1]SITE (Imprensa)_PT'!K63</f>
        <v>6</v>
      </c>
      <c r="L63" s="23">
        <f>[2]Base!DZ63</f>
        <v>37</v>
      </c>
      <c r="M63" s="24">
        <f>[2]Base!AO63</f>
        <v>163770250</v>
      </c>
      <c r="N63" s="24">
        <f>[2]Base!AP63</f>
        <v>0</v>
      </c>
      <c r="O63" s="24">
        <f>[2]Base!AQ63</f>
        <v>163770250</v>
      </c>
      <c r="P63" s="24">
        <f>+[2]Base!ED63</f>
        <v>74780936.073059365</v>
      </c>
      <c r="Q63" s="157">
        <f>'[1]SITE (Imprensa)_PT'!P63</f>
        <v>1.1062237531129828E-2</v>
      </c>
      <c r="R63" s="157">
        <f>'[1]SITE (Imprensa)_PT'!Q63</f>
        <v>3.5952271976171943E-2</v>
      </c>
      <c r="S63" s="157">
        <f>'[1]SITE (Imprensa)_PT'!R63</f>
        <v>0.83197014302090344</v>
      </c>
      <c r="T63" s="158">
        <f>'[1]SITE (Imprensa)_PT'!S63</f>
        <v>0.12101534747179475</v>
      </c>
      <c r="U63" s="6"/>
    </row>
    <row r="64" spans="2:21" ht="13.2" x14ac:dyDescent="0.25">
      <c r="B64" s="40" t="str">
        <f>[2]Base!A64</f>
        <v>CESP</v>
      </c>
      <c r="C64" s="41" t="str">
        <f>[2]Base!C64</f>
        <v>N1</v>
      </c>
      <c r="D64" s="19" t="s">
        <v>60</v>
      </c>
      <c r="E64" s="19" t="str">
        <f>[2]Base!M64</f>
        <v>UBS</v>
      </c>
      <c r="F64" s="19" t="str">
        <f>[2]Base!F64</f>
        <v>FOLLOW-ON</v>
      </c>
      <c r="G64" s="19" t="str">
        <f>[2]Base!G64</f>
        <v>ICVM 400</v>
      </c>
      <c r="H64" s="20">
        <f>[2]Base!X64</f>
        <v>38925</v>
      </c>
      <c r="I64" s="21">
        <f>[2]Base!W64</f>
        <v>1.4500000000000001E-2</v>
      </c>
      <c r="J64" s="22">
        <f>[2]Base!J64</f>
        <v>38926</v>
      </c>
      <c r="K64" s="23">
        <f>'[1]SITE (Imprensa)_PT'!K64</f>
        <v>3036</v>
      </c>
      <c r="L64" s="23">
        <f>[2]Base!DZ64</f>
        <v>4049</v>
      </c>
      <c r="M64" s="24">
        <f>[2]Base!AO64</f>
        <v>3199999999.9794998</v>
      </c>
      <c r="N64" s="24">
        <f>[2]Base!AP64</f>
        <v>0</v>
      </c>
      <c r="O64" s="24">
        <f>[2]Base!AQ64</f>
        <v>3199999999.9794998</v>
      </c>
      <c r="P64" s="24">
        <f>+[2]Base!ED64</f>
        <v>1474654377.8707373</v>
      </c>
      <c r="Q64" s="157">
        <f>'[1]SITE (Imprensa)_PT'!P64</f>
        <v>2.415954203140477E-2</v>
      </c>
      <c r="R64" s="157">
        <f>'[1]SITE (Imprensa)_PT'!Q64</f>
        <v>0.25403699986100237</v>
      </c>
      <c r="S64" s="157">
        <f>'[1]SITE (Imprensa)_PT'!R64</f>
        <v>0.30451281029882576</v>
      </c>
      <c r="T64" s="158">
        <f>'[1]SITE (Imprensa)_PT'!S64</f>
        <v>0.41729064780876701</v>
      </c>
      <c r="U64" s="6"/>
    </row>
    <row r="65" spans="2:21" ht="13.2" x14ac:dyDescent="0.25">
      <c r="B65" s="40" t="str">
        <f>[2]Base!A65</f>
        <v>MEDIAL SAUDE</v>
      </c>
      <c r="C65" s="41" t="str">
        <f>[2]Base!C65</f>
        <v>NM</v>
      </c>
      <c r="D65" s="19" t="s">
        <v>63</v>
      </c>
      <c r="E65" s="19" t="str">
        <f>[2]Base!M65</f>
        <v>Credit Suisse</v>
      </c>
      <c r="F65" s="19" t="str">
        <f>[2]Base!F65</f>
        <v>IPO</v>
      </c>
      <c r="G65" s="19" t="str">
        <f>[2]Base!G65</f>
        <v>ICVM 400</v>
      </c>
      <c r="H65" s="20">
        <f>[2]Base!X65</f>
        <v>38980</v>
      </c>
      <c r="I65" s="21">
        <f>[2]Base!W65</f>
        <v>21.5</v>
      </c>
      <c r="J65" s="22">
        <f>[2]Base!J65</f>
        <v>38982</v>
      </c>
      <c r="K65" s="23">
        <f>'[1]SITE (Imprensa)_PT'!K65</f>
        <v>3061</v>
      </c>
      <c r="L65" s="23">
        <f>[2]Base!DZ65</f>
        <v>3596</v>
      </c>
      <c r="M65" s="24">
        <f>[2]Base!AO65</f>
        <v>474075000</v>
      </c>
      <c r="N65" s="24">
        <f>[2]Base!AP65</f>
        <v>268212328</v>
      </c>
      <c r="O65" s="24">
        <f>[2]Base!AQ65</f>
        <v>742287328</v>
      </c>
      <c r="P65" s="24">
        <f>+[2]Base!ED65</f>
        <v>335876619.00452489</v>
      </c>
      <c r="Q65" s="157">
        <f>'[1]SITE (Imprensa)_PT'!P65</f>
        <v>6.8844331665594588E-2</v>
      </c>
      <c r="R65" s="157">
        <f>'[1]SITE (Imprensa)_PT'!Q65</f>
        <v>0.16694425302111585</v>
      </c>
      <c r="S65" s="157">
        <f>'[1]SITE (Imprensa)_PT'!R65</f>
        <v>0.75879727937373598</v>
      </c>
      <c r="T65" s="158">
        <f>'[1]SITE (Imprensa)_PT'!S65</f>
        <v>5.4141359395535847E-3</v>
      </c>
      <c r="U65" s="6"/>
    </row>
    <row r="66" spans="2:21" ht="13.2" x14ac:dyDescent="0.25">
      <c r="B66" s="40" t="str">
        <f>[2]Base!A66</f>
        <v>ELETROPAULO</v>
      </c>
      <c r="C66" s="41" t="str">
        <f>[2]Base!C66</f>
        <v>N2</v>
      </c>
      <c r="D66" s="19" t="s">
        <v>60</v>
      </c>
      <c r="E66" s="19" t="str">
        <f>[2]Base!M66</f>
        <v>Credit Suisse</v>
      </c>
      <c r="F66" s="19" t="str">
        <f>[2]Base!F66</f>
        <v>FOLLOW-ON</v>
      </c>
      <c r="G66" s="19" t="str">
        <f>[2]Base!G66</f>
        <v>ICVM 400</v>
      </c>
      <c r="H66" s="20">
        <f>[2]Base!X66</f>
        <v>38981</v>
      </c>
      <c r="I66" s="21">
        <f>[2]Base!W66</f>
        <v>8.5000000000000006E-2</v>
      </c>
      <c r="J66" s="22">
        <f>[2]Base!J66</f>
        <v>38985</v>
      </c>
      <c r="K66" s="23">
        <f>'[1]SITE (Imprensa)_PT'!K66</f>
        <v>3660</v>
      </c>
      <c r="L66" s="23">
        <f>[2]Base!DZ66</f>
        <v>4478</v>
      </c>
      <c r="M66" s="24">
        <f>[2]Base!AO66</f>
        <v>0</v>
      </c>
      <c r="N66" s="24">
        <f>[2]Base!AP66</f>
        <v>1345481065</v>
      </c>
      <c r="O66" s="24">
        <f>[2]Base!AQ66</f>
        <v>1345481065</v>
      </c>
      <c r="P66" s="24">
        <f>+[2]Base!ED66</f>
        <v>608814961.53846157</v>
      </c>
      <c r="Q66" s="157">
        <f>'[1]SITE (Imprensa)_PT'!P66</f>
        <v>8.8191378598107578E-2</v>
      </c>
      <c r="R66" s="157">
        <f>'[1]SITE (Imprensa)_PT'!Q66</f>
        <v>0.3037705831296853</v>
      </c>
      <c r="S66" s="157">
        <f>'[1]SITE (Imprensa)_PT'!R66</f>
        <v>0.60090558189683629</v>
      </c>
      <c r="T66" s="158">
        <f>'[1]SITE (Imprensa)_PT'!S66</f>
        <v>7.1324563753708417E-3</v>
      </c>
      <c r="U66" s="6"/>
    </row>
    <row r="67" spans="2:21" ht="13.2" x14ac:dyDescent="0.25">
      <c r="B67" s="40" t="str">
        <f>[2]Base!A67</f>
        <v>KLABINSEGALL</v>
      </c>
      <c r="C67" s="41" t="str">
        <f>[2]Base!C67</f>
        <v>NM</v>
      </c>
      <c r="D67" s="19" t="s">
        <v>77</v>
      </c>
      <c r="E67" s="19" t="str">
        <f>[2]Base!M67</f>
        <v>Deutsche Bank</v>
      </c>
      <c r="F67" s="19" t="str">
        <f>[2]Base!F67</f>
        <v>IPO</v>
      </c>
      <c r="G67" s="19" t="str">
        <f>[2]Base!G67</f>
        <v>ICVM 400</v>
      </c>
      <c r="H67" s="20">
        <f>[2]Base!X67</f>
        <v>38995</v>
      </c>
      <c r="I67" s="21">
        <f>[2]Base!W67</f>
        <v>15</v>
      </c>
      <c r="J67" s="22">
        <f>[2]Base!J67</f>
        <v>38999</v>
      </c>
      <c r="K67" s="23">
        <f>'[1]SITE (Imprensa)_PT'!K67</f>
        <v>4624</v>
      </c>
      <c r="L67" s="23">
        <f>[2]Base!DZ67</f>
        <v>5131</v>
      </c>
      <c r="M67" s="24">
        <f>[2]Base!AO67</f>
        <v>360573750</v>
      </c>
      <c r="N67" s="24">
        <f>[2]Base!AP67</f>
        <v>166773750</v>
      </c>
      <c r="O67" s="24">
        <f>[2]Base!AQ67</f>
        <v>527347500</v>
      </c>
      <c r="P67" s="24">
        <f>+[2]Base!ED67</f>
        <v>244142361.1111111</v>
      </c>
      <c r="Q67" s="157">
        <f>'[1]SITE (Imprensa)_PT'!P67</f>
        <v>8.6502840220756494E-2</v>
      </c>
      <c r="R67" s="157">
        <f>'[1]SITE (Imprensa)_PT'!Q67</f>
        <v>0.2590074034190335</v>
      </c>
      <c r="S67" s="157">
        <f>'[1]SITE (Imprensa)_PT'!R67</f>
        <v>0.65090281329923272</v>
      </c>
      <c r="T67" s="158">
        <f>'[1]SITE (Imprensa)_PT'!S67</f>
        <v>3.5869430609772514E-3</v>
      </c>
      <c r="U67" s="6"/>
    </row>
    <row r="68" spans="2:21" ht="13.2" x14ac:dyDescent="0.25">
      <c r="B68" s="40" t="str">
        <f>[2]Base!A68</f>
        <v>SANTOS BRAS</v>
      </c>
      <c r="C68" s="41" t="str">
        <f>[2]Base!C68</f>
        <v>N2</v>
      </c>
      <c r="D68" s="19" t="s">
        <v>84</v>
      </c>
      <c r="E68" s="19" t="str">
        <f>[2]Base!M68</f>
        <v>Credit Suisse</v>
      </c>
      <c r="F68" s="19" t="str">
        <f>[2]Base!F68</f>
        <v>IPO</v>
      </c>
      <c r="G68" s="19" t="str">
        <f>[2]Base!G68</f>
        <v>ICVM 400</v>
      </c>
      <c r="H68" s="20">
        <f>[2]Base!X68</f>
        <v>39000</v>
      </c>
      <c r="I68" s="21">
        <f>[2]Base!W68</f>
        <v>23</v>
      </c>
      <c r="J68" s="22">
        <f>[2]Base!J68</f>
        <v>39003</v>
      </c>
      <c r="K68" s="23">
        <f>'[1]SITE (Imprensa)_PT'!K68</f>
        <v>4209</v>
      </c>
      <c r="L68" s="23">
        <f>[2]Base!DZ68</f>
        <v>4873</v>
      </c>
      <c r="M68" s="24">
        <f>[2]Base!AO68</f>
        <v>924968759</v>
      </c>
      <c r="N68" s="24">
        <f>[2]Base!AP68</f>
        <v>8433341</v>
      </c>
      <c r="O68" s="24">
        <f>[2]Base!AQ68</f>
        <v>933402100</v>
      </c>
      <c r="P68" s="24">
        <f>+[2]Base!ED68</f>
        <v>436169205.60747659</v>
      </c>
      <c r="Q68" s="157">
        <f>'[1]SITE (Imprensa)_PT'!P68</f>
        <v>8.4064428925433657E-2</v>
      </c>
      <c r="R68" s="157">
        <f>'[1]SITE (Imprensa)_PT'!Q68</f>
        <v>0.1400592120083945</v>
      </c>
      <c r="S68" s="157">
        <f>'[1]SITE (Imprensa)_PT'!R68</f>
        <v>0.77116885026262438</v>
      </c>
      <c r="T68" s="158">
        <f>'[1]SITE (Imprensa)_PT'!S68</f>
        <v>4.7075088035475037E-3</v>
      </c>
      <c r="U68" s="6"/>
    </row>
    <row r="69" spans="2:21" ht="13.2" x14ac:dyDescent="0.25">
      <c r="B69" s="40" t="str">
        <f>[2]Base!A69</f>
        <v>M.DIASBRANCO</v>
      </c>
      <c r="C69" s="41" t="str">
        <f>[2]Base!C69</f>
        <v>NM</v>
      </c>
      <c r="D69" s="19" t="s">
        <v>68</v>
      </c>
      <c r="E69" s="19" t="str">
        <f>[2]Base!M69</f>
        <v>Pactual</v>
      </c>
      <c r="F69" s="19" t="str">
        <f>[2]Base!F69</f>
        <v>IPO</v>
      </c>
      <c r="G69" s="19" t="str">
        <f>[2]Base!G69</f>
        <v>ICVM 400</v>
      </c>
      <c r="H69" s="20">
        <f>[2]Base!X69</f>
        <v>39006</v>
      </c>
      <c r="I69" s="21">
        <f>[2]Base!W69</f>
        <v>21</v>
      </c>
      <c r="J69" s="22">
        <f>[2]Base!J69</f>
        <v>39008</v>
      </c>
      <c r="K69" s="23">
        <f>'[1]SITE (Imprensa)_PT'!K69</f>
        <v>3363</v>
      </c>
      <c r="L69" s="23">
        <f>[2]Base!DZ69</f>
        <v>3737</v>
      </c>
      <c r="M69" s="24">
        <f>[2]Base!AO69</f>
        <v>0</v>
      </c>
      <c r="N69" s="24">
        <f>[2]Base!AP69</f>
        <v>410766300</v>
      </c>
      <c r="O69" s="24">
        <f>[2]Base!AQ69</f>
        <v>410766300</v>
      </c>
      <c r="P69" s="24">
        <f>+[2]Base!ED69</f>
        <v>192848028.1690141</v>
      </c>
      <c r="Q69" s="157">
        <f>'[1]SITE (Imprensa)_PT'!P69</f>
        <v>8.4262434984598289E-2</v>
      </c>
      <c r="R69" s="157">
        <f>'[1]SITE (Imprensa)_PT'!Q69</f>
        <v>0.20212790991263949</v>
      </c>
      <c r="S69" s="157">
        <f>'[1]SITE (Imprensa)_PT'!R69</f>
        <v>0.70858203302529921</v>
      </c>
      <c r="T69" s="158">
        <f>'[1]SITE (Imprensa)_PT'!S69</f>
        <v>5.0276220774630107E-3</v>
      </c>
      <c r="U69" s="6"/>
    </row>
    <row r="70" spans="2:21" ht="13.2" x14ac:dyDescent="0.25">
      <c r="B70" s="40" t="str">
        <f>[2]Base!A71</f>
        <v>BRASCAN RES</v>
      </c>
      <c r="C70" s="41" t="str">
        <f>[2]Base!C71</f>
        <v>NM</v>
      </c>
      <c r="D70" s="19" t="s">
        <v>77</v>
      </c>
      <c r="E70" s="19" t="str">
        <f>[2]Base!M70</f>
        <v>Credit Suisse</v>
      </c>
      <c r="F70" s="19" t="str">
        <f>[2]Base!F71</f>
        <v>IPO</v>
      </c>
      <c r="G70" s="19" t="str">
        <f>[2]Base!G70</f>
        <v>ICVM 400</v>
      </c>
      <c r="H70" s="20">
        <f>[2]Base!X70</f>
        <v>39016</v>
      </c>
      <c r="I70" s="21">
        <f>[2]Base!W70</f>
        <v>25</v>
      </c>
      <c r="J70" s="22">
        <f>[2]Base!J71</f>
        <v>39013</v>
      </c>
      <c r="K70" s="23">
        <f>'[1]SITE (Imprensa)_PT'!K71</f>
        <v>4272</v>
      </c>
      <c r="L70" s="23">
        <f>[2]Base!DZ71</f>
        <v>4735</v>
      </c>
      <c r="M70" s="24">
        <f>[2]Base!AO71</f>
        <v>940000000</v>
      </c>
      <c r="N70" s="24">
        <f>[2]Base!AP71</f>
        <v>248000000</v>
      </c>
      <c r="O70" s="24">
        <f>[2]Base!AQ71</f>
        <v>1188000000</v>
      </c>
      <c r="P70" s="24">
        <f>+[2]Base!ED71</f>
        <v>555140186.91588783</v>
      </c>
      <c r="Q70" s="157">
        <f>'[1]SITE (Imprensa)_PT'!P71</f>
        <v>7.0529252525252523E-2</v>
      </c>
      <c r="R70" s="157">
        <f>'[1]SITE (Imprensa)_PT'!Q71</f>
        <v>5.0653804713804713E-2</v>
      </c>
      <c r="S70" s="157">
        <f>'[1]SITE (Imprensa)_PT'!R71</f>
        <v>0.87445925925925927</v>
      </c>
      <c r="T70" s="158">
        <f>'[1]SITE (Imprensa)_PT'!S71</f>
        <v>4.3576835016835014E-3</v>
      </c>
      <c r="U70" s="6"/>
    </row>
    <row r="71" spans="2:21" ht="13.2" x14ac:dyDescent="0.25">
      <c r="B71" s="40" t="str">
        <f>[2]Base!A72</f>
        <v>PROFARMA</v>
      </c>
      <c r="C71" s="41" t="str">
        <f>[2]Base!C72</f>
        <v>NM</v>
      </c>
      <c r="D71" s="19" t="s">
        <v>85</v>
      </c>
      <c r="E71" s="19" t="str">
        <f>[2]Base!M71</f>
        <v>Credit Suisse</v>
      </c>
      <c r="F71" s="19" t="str">
        <f>[2]Base!F72</f>
        <v>IPO</v>
      </c>
      <c r="G71" s="19" t="str">
        <f>[2]Base!G71</f>
        <v>ICVM 400</v>
      </c>
      <c r="H71" s="20">
        <f>[2]Base!X71</f>
        <v>39009</v>
      </c>
      <c r="I71" s="21">
        <f>[2]Base!W71</f>
        <v>16</v>
      </c>
      <c r="J71" s="22">
        <f>[2]Base!J72</f>
        <v>39016</v>
      </c>
      <c r="K71" s="23">
        <f>'[1]SITE (Imprensa)_PT'!K72</f>
        <v>4514</v>
      </c>
      <c r="L71" s="23">
        <f>[2]Base!DZ72</f>
        <v>4995</v>
      </c>
      <c r="M71" s="24">
        <f>[2]Base!AO72</f>
        <v>310500000</v>
      </c>
      <c r="N71" s="24">
        <f>[2]Base!AP72</f>
        <v>90562500</v>
      </c>
      <c r="O71" s="24">
        <f>[2]Base!AQ72</f>
        <v>401062500</v>
      </c>
      <c r="P71" s="24">
        <f>+[2]Base!ED72</f>
        <v>188292253.52112678</v>
      </c>
      <c r="Q71" s="157">
        <f>'[1]SITE (Imprensa)_PT'!P72</f>
        <v>8.9045049088359043E-2</v>
      </c>
      <c r="R71" s="157">
        <f>'[1]SITE (Imprensa)_PT'!Q72</f>
        <v>0.20718092566619917</v>
      </c>
      <c r="S71" s="157">
        <f>'[1]SITE (Imprensa)_PT'!R72</f>
        <v>0.70000706872370266</v>
      </c>
      <c r="T71" s="158">
        <f>'[1]SITE (Imprensa)_PT'!S72</f>
        <v>3.7669565217391303E-3</v>
      </c>
      <c r="U71" s="6"/>
    </row>
    <row r="72" spans="2:21" ht="13.2" x14ac:dyDescent="0.25">
      <c r="B72" s="40" t="str">
        <f>[2]Base!A70</f>
        <v>PERDIGAO S/A</v>
      </c>
      <c r="C72" s="41" t="str">
        <f>[2]Base!C70</f>
        <v>NM</v>
      </c>
      <c r="D72" s="19" t="s">
        <v>86</v>
      </c>
      <c r="E72" s="19" t="str">
        <f>[2]Base!M72</f>
        <v>Credit Suisse</v>
      </c>
      <c r="F72" s="19" t="str">
        <f>[2]Base!F70</f>
        <v>FOLLOW-ON</v>
      </c>
      <c r="G72" s="19" t="str">
        <f>[2]Base!G72</f>
        <v>ICVM 400</v>
      </c>
      <c r="H72" s="20">
        <f>[2]Base!X72</f>
        <v>39014</v>
      </c>
      <c r="I72" s="21">
        <f>[2]Base!W72</f>
        <v>22.5</v>
      </c>
      <c r="J72" s="22">
        <f>[2]Base!J70</f>
        <v>39017</v>
      </c>
      <c r="K72" s="23">
        <f>'[1]SITE (Imprensa)_PT'!K70</f>
        <v>4212</v>
      </c>
      <c r="L72" s="23">
        <f>[2]Base!DZ70</f>
        <v>4917</v>
      </c>
      <c r="M72" s="24">
        <f>[2]Base!AO70</f>
        <v>800000000</v>
      </c>
      <c r="N72" s="24">
        <f>[2]Base!AP70</f>
        <v>0</v>
      </c>
      <c r="O72" s="24">
        <f>[2]Base!AQ70</f>
        <v>800000000</v>
      </c>
      <c r="P72" s="24">
        <f>+[2]Base!ED70</f>
        <v>375586854.46009392</v>
      </c>
      <c r="Q72" s="157">
        <f>'[1]SITE (Imprensa)_PT'!P70</f>
        <v>7.4491956521739136E-2</v>
      </c>
      <c r="R72" s="157">
        <f>'[1]SITE (Imprensa)_PT'!Q70</f>
        <v>0.14214073369565217</v>
      </c>
      <c r="S72" s="157">
        <f>'[1]SITE (Imprensa)_PT'!R70</f>
        <v>0.47463559782608694</v>
      </c>
      <c r="T72" s="158">
        <f>'[1]SITE (Imprensa)_PT'!S70</f>
        <v>0.30873171195652171</v>
      </c>
      <c r="U72" s="6"/>
    </row>
    <row r="73" spans="2:21" ht="13.2" x14ac:dyDescent="0.25">
      <c r="B73" s="40" t="str">
        <f>[2]Base!A73</f>
        <v>TERNA PART</v>
      </c>
      <c r="C73" s="41" t="str">
        <f>[2]Base!C73</f>
        <v>N2</v>
      </c>
      <c r="D73" s="19" t="s">
        <v>60</v>
      </c>
      <c r="E73" s="19" t="str">
        <f>[2]Base!M73</f>
        <v>Itaú BBA</v>
      </c>
      <c r="F73" s="19" t="str">
        <f>[2]Base!F73</f>
        <v>IPO</v>
      </c>
      <c r="G73" s="19" t="str">
        <f>[2]Base!G73</f>
        <v>ICVM 400</v>
      </c>
      <c r="H73" s="20">
        <f>[2]Base!X73</f>
        <v>39015</v>
      </c>
      <c r="I73" s="21">
        <f>[2]Base!W73</f>
        <v>21</v>
      </c>
      <c r="J73" s="22">
        <f>[2]Base!J73</f>
        <v>39017</v>
      </c>
      <c r="K73" s="23">
        <f>'[1]SITE (Imprensa)_PT'!K73</f>
        <v>6258</v>
      </c>
      <c r="L73" s="23">
        <f>[2]Base!DZ73</f>
        <v>7326</v>
      </c>
      <c r="M73" s="24">
        <f>[2]Base!AO73</f>
        <v>371360304</v>
      </c>
      <c r="N73" s="24">
        <f>[2]Base!AP73</f>
        <v>255310209</v>
      </c>
      <c r="O73" s="24">
        <f>[2]Base!AQ73</f>
        <v>626670513</v>
      </c>
      <c r="P73" s="24">
        <f>+[2]Base!ED73</f>
        <v>294211508.45070422</v>
      </c>
      <c r="Q73" s="157">
        <f>'[1]SITE (Imprensa)_PT'!P73</f>
        <v>7.8950110103552934E-2</v>
      </c>
      <c r="R73" s="157">
        <f>'[1]SITE (Imprensa)_PT'!Q73</f>
        <v>0.23453110677955258</v>
      </c>
      <c r="S73" s="157">
        <f>'[1]SITE (Imprensa)_PT'!R73</f>
        <v>0.64922140352884294</v>
      </c>
      <c r="T73" s="158">
        <f>'[1]SITE (Imprensa)_PT'!S73</f>
        <v>3.7297379588051557E-2</v>
      </c>
      <c r="U73" s="6"/>
    </row>
    <row r="74" spans="2:21" ht="13.2" x14ac:dyDescent="0.25">
      <c r="B74" s="40" t="str">
        <f>[2]Base!A74</f>
        <v>ECODIESEL</v>
      </c>
      <c r="C74" s="41" t="str">
        <f>[2]Base!C74</f>
        <v>NM</v>
      </c>
      <c r="D74" s="19" t="s">
        <v>87</v>
      </c>
      <c r="E74" s="19" t="str">
        <f>[2]Base!M74</f>
        <v>Banco Fator</v>
      </c>
      <c r="F74" s="19" t="str">
        <f>[2]Base!F74</f>
        <v>IPO</v>
      </c>
      <c r="G74" s="19" t="str">
        <f>[2]Base!G74</f>
        <v>ICVM 400</v>
      </c>
      <c r="H74" s="20">
        <f>[2]Base!X74</f>
        <v>39030</v>
      </c>
      <c r="I74" s="21">
        <f>[2]Base!W74</f>
        <v>12</v>
      </c>
      <c r="J74" s="22">
        <f>[2]Base!J74</f>
        <v>39043</v>
      </c>
      <c r="K74" s="23">
        <f>'[1]SITE (Imprensa)_PT'!K74</f>
        <v>9315</v>
      </c>
      <c r="L74" s="23">
        <f>[2]Base!DZ74</f>
        <v>9841</v>
      </c>
      <c r="M74" s="24">
        <f>[2]Base!AO74</f>
        <v>378932220</v>
      </c>
      <c r="N74" s="24">
        <f>[2]Base!AP74</f>
        <v>0</v>
      </c>
      <c r="O74" s="24">
        <f>[2]Base!AQ74</f>
        <v>378932220</v>
      </c>
      <c r="P74" s="24">
        <f>+[2]Base!ED74</f>
        <v>175431583.33333331</v>
      </c>
      <c r="Q74" s="157">
        <f>'[1]SITE (Imprensa)_PT'!P74</f>
        <v>8.6182270104504452E-2</v>
      </c>
      <c r="R74" s="157">
        <f>'[1]SITE (Imprensa)_PT'!Q74</f>
        <v>0.23107584202900358</v>
      </c>
      <c r="S74" s="157">
        <f>'[1]SITE (Imprensa)_PT'!R74</f>
        <v>0.59089254472689401</v>
      </c>
      <c r="T74" s="158">
        <f>'[1]SITE (Imprensa)_PT'!S74</f>
        <v>9.1849343139598E-2</v>
      </c>
      <c r="U74" s="6"/>
    </row>
    <row r="75" spans="2:21" ht="13.2" x14ac:dyDescent="0.25">
      <c r="B75" s="40" t="str">
        <f>[2]Base!A75</f>
        <v>ODONTOPREV</v>
      </c>
      <c r="C75" s="41" t="str">
        <f>[2]Base!C75</f>
        <v>NM</v>
      </c>
      <c r="D75" s="19" t="s">
        <v>63</v>
      </c>
      <c r="E75" s="19" t="str">
        <f>[2]Base!M75</f>
        <v>Itaú BBA</v>
      </c>
      <c r="F75" s="19" t="str">
        <f>[2]Base!F75</f>
        <v>IPO</v>
      </c>
      <c r="G75" s="19" t="str">
        <f>[2]Base!G75</f>
        <v>ICVM 400</v>
      </c>
      <c r="H75" s="20">
        <f>[2]Base!X75</f>
        <v>39050</v>
      </c>
      <c r="I75" s="21">
        <f>[2]Base!W75</f>
        <v>28</v>
      </c>
      <c r="J75" s="22">
        <f>[2]Base!J75</f>
        <v>39052</v>
      </c>
      <c r="K75" s="23">
        <f>'[1]SITE (Imprensa)_PT'!K75</f>
        <v>8675</v>
      </c>
      <c r="L75" s="23">
        <f>[2]Base!DZ75</f>
        <v>9772</v>
      </c>
      <c r="M75" s="24">
        <f>[2]Base!AO75</f>
        <v>161913052</v>
      </c>
      <c r="N75" s="24">
        <f>[2]Base!AP75</f>
        <v>360118192</v>
      </c>
      <c r="O75" s="24">
        <f>[2]Base!AQ75</f>
        <v>522031244</v>
      </c>
      <c r="P75" s="24">
        <f>+[2]Base!ED75</f>
        <v>240900435.62528843</v>
      </c>
      <c r="Q75" s="157">
        <f>'[1]SITE (Imprensa)_PT'!P75</f>
        <v>8.8629446094992737E-2</v>
      </c>
      <c r="R75" s="157">
        <f>'[1]SITE (Imprensa)_PT'!Q75</f>
        <v>0.25896213215927744</v>
      </c>
      <c r="S75" s="157">
        <f>'[1]SITE (Imprensa)_PT'!R75</f>
        <v>0.62709251938950994</v>
      </c>
      <c r="T75" s="158">
        <f>'[1]SITE (Imprensa)_PT'!S75</f>
        <v>2.5315902356219888E-2</v>
      </c>
      <c r="U75" s="6"/>
    </row>
    <row r="76" spans="2:21" ht="13.2" x14ac:dyDescent="0.25">
      <c r="B76" s="40" t="str">
        <f>[2]Base!A76</f>
        <v>POSITIVO INF</v>
      </c>
      <c r="C76" s="41" t="str">
        <f>[2]Base!C76</f>
        <v>NM</v>
      </c>
      <c r="D76" s="19" t="s">
        <v>88</v>
      </c>
      <c r="E76" s="19" t="str">
        <f>[2]Base!M76</f>
        <v>UBS</v>
      </c>
      <c r="F76" s="19" t="str">
        <f>[2]Base!F76</f>
        <v>IPO</v>
      </c>
      <c r="G76" s="19" t="str">
        <f>[2]Base!G76</f>
        <v>ICVM 400</v>
      </c>
      <c r="H76" s="20">
        <f>[2]Base!X76</f>
        <v>39058</v>
      </c>
      <c r="I76" s="21">
        <f>[2]Base!W76</f>
        <v>23.5</v>
      </c>
      <c r="J76" s="22">
        <f>[2]Base!J76</f>
        <v>39062</v>
      </c>
      <c r="K76" s="23">
        <f>'[1]SITE (Imprensa)_PT'!K76</f>
        <v>18466</v>
      </c>
      <c r="L76" s="23">
        <f>[2]Base!DZ76</f>
        <v>19543</v>
      </c>
      <c r="M76" s="24">
        <f>[2]Base!AO76</f>
        <v>65800000</v>
      </c>
      <c r="N76" s="24">
        <f>[2]Base!AP76</f>
        <v>538312150</v>
      </c>
      <c r="O76" s="24">
        <f>[2]Base!AQ76</f>
        <v>604112150</v>
      </c>
      <c r="P76" s="24">
        <f>+[2]Base!ED76</f>
        <v>282506617.09689492</v>
      </c>
      <c r="Q76" s="157">
        <f>'[1]SITE (Imprensa)_PT'!P76</f>
        <v>9.3250077448747151E-2</v>
      </c>
      <c r="R76" s="157">
        <f>'[1]SITE (Imprensa)_PT'!Q76</f>
        <v>0.25465326651480635</v>
      </c>
      <c r="S76" s="157">
        <f>'[1]SITE (Imprensa)_PT'!R76</f>
        <v>0.64184878359908881</v>
      </c>
      <c r="T76" s="158">
        <f>'[1]SITE (Imprensa)_PT'!S76</f>
        <v>1.0247872437357631E-2</v>
      </c>
      <c r="U76" s="6"/>
    </row>
    <row r="77" spans="2:21" ht="13.2" x14ac:dyDescent="0.25">
      <c r="B77" s="40" t="str">
        <f>[2]Base!A77</f>
        <v>SAO CARLOS</v>
      </c>
      <c r="C77" s="41" t="str">
        <f>[2]Base!C77</f>
        <v>NM</v>
      </c>
      <c r="D77" s="19" t="s">
        <v>82</v>
      </c>
      <c r="E77" s="19" t="str">
        <f>[2]Base!M77</f>
        <v>Credit Suisse</v>
      </c>
      <c r="F77" s="19" t="str">
        <f>[2]Base!F77</f>
        <v>FOLLOW-ON</v>
      </c>
      <c r="G77" s="19" t="str">
        <f>[2]Base!G77</f>
        <v>ICVM 400</v>
      </c>
      <c r="H77" s="20">
        <f>[2]Base!X77</f>
        <v>39063</v>
      </c>
      <c r="I77" s="21">
        <f>[2]Base!W77</f>
        <v>19.5</v>
      </c>
      <c r="J77" s="22">
        <f>[2]Base!J77</f>
        <v>39065</v>
      </c>
      <c r="K77" s="23">
        <f>'[1]SITE (Imprensa)_PT'!K77</f>
        <v>6445</v>
      </c>
      <c r="L77" s="23">
        <f>[2]Base!DZ77</f>
        <v>6821</v>
      </c>
      <c r="M77" s="24">
        <f>[2]Base!AO77</f>
        <v>341250000</v>
      </c>
      <c r="N77" s="24">
        <f>[2]Base!AP77</f>
        <v>139670017.5</v>
      </c>
      <c r="O77" s="24">
        <f>[2]Base!AQ77</f>
        <v>480920017.5</v>
      </c>
      <c r="P77" s="24">
        <f>+[2]Base!ED77</f>
        <v>224100660.53122088</v>
      </c>
      <c r="Q77" s="157">
        <f>'[1]SITE (Imprensa)_PT'!P77</f>
        <v>0.10242878718918334</v>
      </c>
      <c r="R77" s="157">
        <f>'[1]SITE (Imprensa)_PT'!Q77</f>
        <v>0.10451032085040707</v>
      </c>
      <c r="S77" s="157">
        <f>'[1]SITE (Imprensa)_PT'!R77</f>
        <v>0.74529113628097421</v>
      </c>
      <c r="T77" s="158">
        <f>'[1]SITE (Imprensa)_PT'!S77</f>
        <v>4.7769755679435436E-2</v>
      </c>
      <c r="U77" s="6"/>
    </row>
    <row r="78" spans="2:21" ht="13.2" x14ac:dyDescent="0.25">
      <c r="B78" s="40" t="str">
        <f>[2]Base!A78</f>
        <v>LOPES BRASIL</v>
      </c>
      <c r="C78" s="41" t="str">
        <f>[2]Base!C78</f>
        <v>NM</v>
      </c>
      <c r="D78" s="19" t="s">
        <v>82</v>
      </c>
      <c r="E78" s="19" t="str">
        <f>[2]Base!M78</f>
        <v>UBS</v>
      </c>
      <c r="F78" s="19" t="str">
        <f>[2]Base!F78</f>
        <v>IPO</v>
      </c>
      <c r="G78" s="19" t="str">
        <f>[2]Base!G78</f>
        <v>ICVM 400</v>
      </c>
      <c r="H78" s="20">
        <f>[2]Base!X78</f>
        <v>39065</v>
      </c>
      <c r="I78" s="21">
        <f>[2]Base!W78</f>
        <v>20</v>
      </c>
      <c r="J78" s="22">
        <f>[2]Base!J78</f>
        <v>39069</v>
      </c>
      <c r="K78" s="23">
        <f>'[1]SITE (Imprensa)_PT'!K78</f>
        <v>9803</v>
      </c>
      <c r="L78" s="23">
        <f>[2]Base!DZ78</f>
        <v>10438</v>
      </c>
      <c r="M78" s="24">
        <f>[2]Base!AO78</f>
        <v>0</v>
      </c>
      <c r="N78" s="24">
        <f>[2]Base!AP78</f>
        <v>474720000</v>
      </c>
      <c r="O78" s="24">
        <f>[2]Base!AQ78</f>
        <v>474720000</v>
      </c>
      <c r="P78" s="24">
        <f>+[2]Base!ED78</f>
        <v>221108523.52119237</v>
      </c>
      <c r="Q78" s="157">
        <f>'[1]SITE (Imprensa)_PT'!P78</f>
        <v>0.1081038506909336</v>
      </c>
      <c r="R78" s="157">
        <f>'[1]SITE (Imprensa)_PT'!Q78</f>
        <v>0.17753437815975734</v>
      </c>
      <c r="S78" s="157">
        <f>'[1]SITE (Imprensa)_PT'!R78</f>
        <v>0.71061151836872261</v>
      </c>
      <c r="T78" s="158">
        <f>'[1]SITE (Imprensa)_PT'!S78</f>
        <v>3.7502527805864509E-3</v>
      </c>
      <c r="U78" s="6"/>
    </row>
    <row r="79" spans="2:21" ht="13.8" thickBot="1" x14ac:dyDescent="0.3">
      <c r="B79" s="30" t="str">
        <f>[2]Base!A79</f>
        <v>DUFRYBRAS</v>
      </c>
      <c r="C79" s="31" t="str">
        <f>[2]Base!C79</f>
        <v>BDR</v>
      </c>
      <c r="D79" s="31" t="s">
        <v>69</v>
      </c>
      <c r="E79" s="31" t="str">
        <f>[2]Base!M79</f>
        <v>UBS</v>
      </c>
      <c r="F79" s="31" t="str">
        <f>[2]Base!F79</f>
        <v>IPO</v>
      </c>
      <c r="G79" s="31" t="str">
        <f>[2]Base!G79</f>
        <v>ICVM 400</v>
      </c>
      <c r="H79" s="32">
        <f>[2]Base!X79</f>
        <v>39069</v>
      </c>
      <c r="I79" s="33">
        <f>[2]Base!W79</f>
        <v>26.84</v>
      </c>
      <c r="J79" s="34">
        <f>[2]Base!J79</f>
        <v>39071</v>
      </c>
      <c r="K79" s="35">
        <f>'[1]SITE (Imprensa)_PT'!K79</f>
        <v>10039</v>
      </c>
      <c r="L79" s="35">
        <f>[2]Base!DZ79</f>
        <v>10805</v>
      </c>
      <c r="M79" s="36">
        <f>[2]Base!AO79</f>
        <v>0</v>
      </c>
      <c r="N79" s="36">
        <f>[2]Base!AP79</f>
        <v>849754936.79999995</v>
      </c>
      <c r="O79" s="36">
        <f>[2]Base!AQ79</f>
        <v>849754936.79999995</v>
      </c>
      <c r="P79" s="36">
        <f>+[2]Base!ED79</f>
        <v>394904236.82498366</v>
      </c>
      <c r="Q79" s="159">
        <f>'[1]SITE (Imprensa)_PT'!P79</f>
        <v>9.8349116646167634E-2</v>
      </c>
      <c r="R79" s="159">
        <f>'[1]SITE (Imprensa)_PT'!Q79</f>
        <v>0.20742772746195359</v>
      </c>
      <c r="S79" s="159">
        <f>'[1]SITE (Imprensa)_PT'!R79</f>
        <v>0.69013348696557997</v>
      </c>
      <c r="T79" s="160">
        <f>'[1]SITE (Imprensa)_PT'!S79</f>
        <v>4.0896689262988461E-3</v>
      </c>
      <c r="U79" s="6"/>
    </row>
    <row r="80" spans="2:21" ht="13.8" thickTop="1" x14ac:dyDescent="0.25">
      <c r="B80" s="40" t="str">
        <f>[2]Base!A80</f>
        <v>PDG REALT</v>
      </c>
      <c r="C80" s="41" t="str">
        <f>[2]Base!C80</f>
        <v>NM</v>
      </c>
      <c r="D80" s="41" t="s">
        <v>77</v>
      </c>
      <c r="E80" s="41" t="str">
        <f>[2]Base!M80</f>
        <v>UBS</v>
      </c>
      <c r="F80" s="41" t="str">
        <f>[2]Base!F80</f>
        <v>IPO</v>
      </c>
      <c r="G80" s="41" t="str">
        <f>[2]Base!G80</f>
        <v>ICVM 400</v>
      </c>
      <c r="H80" s="42">
        <f>[2]Base!X80</f>
        <v>39106</v>
      </c>
      <c r="I80" s="43">
        <f>[2]Base!W80</f>
        <v>14</v>
      </c>
      <c r="J80" s="44">
        <f>[2]Base!J80</f>
        <v>39108</v>
      </c>
      <c r="K80" s="45">
        <f>'[1]SITE (Imprensa)_PT'!K80</f>
        <v>11826</v>
      </c>
      <c r="L80" s="45">
        <f>[2]Base!DZ80</f>
        <v>12422</v>
      </c>
      <c r="M80" s="46">
        <f>[2]Base!AO80</f>
        <v>432263062</v>
      </c>
      <c r="N80" s="46">
        <f>[2]Base!AP80</f>
        <v>216131538</v>
      </c>
      <c r="O80" s="46">
        <f>[2]Base!AQ80</f>
        <v>648394600</v>
      </c>
      <c r="P80" s="46">
        <f>+[2]Base!ED80</f>
        <v>303555524.34456927</v>
      </c>
      <c r="Q80" s="161">
        <f>'[1]SITE (Imprensa)_PT'!P80</f>
        <v>9.4026454106280188E-2</v>
      </c>
      <c r="R80" s="161">
        <f>'[1]SITE (Imprensa)_PT'!Q80</f>
        <v>6.179400966183575E-2</v>
      </c>
      <c r="S80" s="161">
        <f>'[1]SITE (Imprensa)_PT'!R80</f>
        <v>0.8359644444444444</v>
      </c>
      <c r="T80" s="162">
        <f>'[1]SITE (Imprensa)_PT'!S80</f>
        <v>8.2150917874396143E-3</v>
      </c>
      <c r="U80" s="6"/>
    </row>
    <row r="81" spans="2:21" ht="13.2" x14ac:dyDescent="0.25">
      <c r="B81" s="40" t="str">
        <f>[2]Base!A81</f>
        <v>RODOBENSIMOB</v>
      </c>
      <c r="C81" s="41" t="str">
        <f>[2]Base!C81</f>
        <v>NM</v>
      </c>
      <c r="D81" s="19" t="s">
        <v>77</v>
      </c>
      <c r="E81" s="19" t="str">
        <f>[2]Base!M81</f>
        <v>JP Morgan</v>
      </c>
      <c r="F81" s="19" t="str">
        <f>[2]Base!F81</f>
        <v>IPO</v>
      </c>
      <c r="G81" s="19" t="str">
        <f>[2]Base!G81</f>
        <v>ICVM 400</v>
      </c>
      <c r="H81" s="20">
        <f>[2]Base!X81</f>
        <v>39111</v>
      </c>
      <c r="I81" s="21">
        <f>[2]Base!W81</f>
        <v>19.5</v>
      </c>
      <c r="J81" s="22">
        <f>[2]Base!J81</f>
        <v>39113</v>
      </c>
      <c r="K81" s="23">
        <f>'[1]SITE (Imprensa)_PT'!K81</f>
        <v>13963</v>
      </c>
      <c r="L81" s="23">
        <f>[2]Base!DZ81</f>
        <v>14782</v>
      </c>
      <c r="M81" s="24">
        <f>[2]Base!AO81</f>
        <v>448500000</v>
      </c>
      <c r="N81" s="24">
        <f>[2]Base!AP81</f>
        <v>0</v>
      </c>
      <c r="O81" s="24">
        <f>[2]Base!AQ81</f>
        <v>448500000</v>
      </c>
      <c r="P81" s="24">
        <f>+[2]Base!ED81</f>
        <v>211556603.7735849</v>
      </c>
      <c r="Q81" s="157">
        <f>'[1]SITE (Imprensa)_PT'!P81</f>
        <v>0.10657260869565217</v>
      </c>
      <c r="R81" s="157">
        <f>'[1]SITE (Imprensa)_PT'!Q81</f>
        <v>0.22176391304347826</v>
      </c>
      <c r="S81" s="157">
        <f>'[1]SITE (Imprensa)_PT'!R81</f>
        <v>0.66993608695652174</v>
      </c>
      <c r="T81" s="158">
        <f>'[1]SITE (Imprensa)_PT'!S81</f>
        <v>1.727391304347826E-3</v>
      </c>
      <c r="U81" s="6"/>
    </row>
    <row r="82" spans="2:21" ht="13.2" x14ac:dyDescent="0.25">
      <c r="B82" s="40" t="str">
        <f>[2]Base!A82</f>
        <v>CC DES IMOB</v>
      </c>
      <c r="C82" s="41" t="str">
        <f>[2]Base!C82</f>
        <v>NM</v>
      </c>
      <c r="D82" s="19" t="s">
        <v>77</v>
      </c>
      <c r="E82" s="19" t="str">
        <f>[2]Base!M82</f>
        <v>Credit Suisse</v>
      </c>
      <c r="F82" s="19" t="str">
        <f>[2]Base!F82</f>
        <v>IPO</v>
      </c>
      <c r="G82" s="19" t="str">
        <f>[2]Base!G82</f>
        <v>ICVM 400</v>
      </c>
      <c r="H82" s="20">
        <f>[2]Base!X82</f>
        <v>39111</v>
      </c>
      <c r="I82" s="21">
        <f>[2]Base!W82</f>
        <v>14.5</v>
      </c>
      <c r="J82" s="22">
        <f>[2]Base!J82</f>
        <v>39113</v>
      </c>
      <c r="K82" s="23">
        <f>'[1]SITE (Imprensa)_PT'!K82</f>
        <v>22002</v>
      </c>
      <c r="L82" s="23">
        <f>[2]Base!DZ82</f>
        <v>23552</v>
      </c>
      <c r="M82" s="24">
        <f>[2]Base!AO82</f>
        <v>478500000</v>
      </c>
      <c r="N82" s="24">
        <f>[2]Base!AP82</f>
        <v>43499985.5</v>
      </c>
      <c r="O82" s="24">
        <f>[2]Base!AQ82</f>
        <v>521999985.5</v>
      </c>
      <c r="P82" s="24">
        <f>+[2]Base!ED82</f>
        <v>245681736.48044431</v>
      </c>
      <c r="Q82" s="157">
        <f>'[1]SITE (Imprensa)_PT'!P82</f>
        <v>0.1277443026025194</v>
      </c>
      <c r="R82" s="157">
        <f>'[1]SITE (Imprensa)_PT'!Q82</f>
        <v>0.3806971831086276</v>
      </c>
      <c r="S82" s="157">
        <f>'[1]SITE (Imprensa)_PT'!R82</f>
        <v>0.48324986674516585</v>
      </c>
      <c r="T82" s="158">
        <f>'[1]SITE (Imprensa)_PT'!S82</f>
        <v>8.3086475436871393E-3</v>
      </c>
      <c r="U82" s="6"/>
    </row>
    <row r="83" spans="2:21" ht="13.2" x14ac:dyDescent="0.25">
      <c r="B83" s="40" t="str">
        <f>[2]Base!A83</f>
        <v>TECNISA</v>
      </c>
      <c r="C83" s="41" t="str">
        <f>[2]Base!C83</f>
        <v>NM</v>
      </c>
      <c r="D83" s="19" t="s">
        <v>77</v>
      </c>
      <c r="E83" s="19" t="str">
        <f>[2]Base!M83</f>
        <v>Credit Suisse</v>
      </c>
      <c r="F83" s="19" t="str">
        <f>[2]Base!F83</f>
        <v>IPO</v>
      </c>
      <c r="G83" s="19" t="str">
        <f>[2]Base!G83</f>
        <v>ICVM 400</v>
      </c>
      <c r="H83" s="20">
        <f>[2]Base!X83</f>
        <v>39112</v>
      </c>
      <c r="I83" s="21">
        <f>[2]Base!W83</f>
        <v>13</v>
      </c>
      <c r="J83" s="22">
        <f>[2]Base!J83</f>
        <v>39114</v>
      </c>
      <c r="K83" s="23">
        <f>'[1]SITE (Imprensa)_PT'!K83</f>
        <v>17187</v>
      </c>
      <c r="L83" s="23">
        <f>[2]Base!DZ83</f>
        <v>18216</v>
      </c>
      <c r="M83" s="24">
        <f>[2]Base!AO83</f>
        <v>590652257</v>
      </c>
      <c r="N83" s="24">
        <f>[2]Base!AP83</f>
        <v>200650827</v>
      </c>
      <c r="O83" s="24">
        <f>[2]Base!AQ83</f>
        <v>791303084</v>
      </c>
      <c r="P83" s="24">
        <f>+[2]Base!ED83</f>
        <v>372430500.30592555</v>
      </c>
      <c r="Q83" s="157">
        <f>'[1]SITE (Imprensa)_PT'!P83</f>
        <v>0.10218897778807874</v>
      </c>
      <c r="R83" s="157">
        <f>'[1]SITE (Imprensa)_PT'!Q83</f>
        <v>0.17260137616220186</v>
      </c>
      <c r="S83" s="157">
        <f>'[1]SITE (Imprensa)_PT'!R83</f>
        <v>0.59367600702446843</v>
      </c>
      <c r="T83" s="158">
        <f>'[1]SITE (Imprensa)_PT'!S83</f>
        <v>0.131533639025251</v>
      </c>
      <c r="U83" s="6"/>
    </row>
    <row r="84" spans="2:21" ht="13.2" x14ac:dyDescent="0.25">
      <c r="B84" s="40" t="str">
        <f>[2]Base!A84</f>
        <v>IGUATEMI</v>
      </c>
      <c r="C84" s="41" t="str">
        <f>[2]Base!C84</f>
        <v>NM</v>
      </c>
      <c r="D84" s="19" t="s">
        <v>82</v>
      </c>
      <c r="E84" s="19" t="str">
        <f>[2]Base!M84</f>
        <v>Santander</v>
      </c>
      <c r="F84" s="19" t="str">
        <f>[2]Base!F84</f>
        <v>IPO</v>
      </c>
      <c r="G84" s="19" t="str">
        <f>[2]Base!G84</f>
        <v>ICVM 400</v>
      </c>
      <c r="H84" s="20">
        <f>[2]Base!X84</f>
        <v>39118</v>
      </c>
      <c r="I84" s="21">
        <f>[2]Base!W84</f>
        <v>30</v>
      </c>
      <c r="J84" s="22">
        <f>[2]Base!J84</f>
        <v>39120</v>
      </c>
      <c r="K84" s="23">
        <f>'[1]SITE (Imprensa)_PT'!K84</f>
        <v>16710</v>
      </c>
      <c r="L84" s="23">
        <f>[2]Base!DZ84</f>
        <v>18100</v>
      </c>
      <c r="M84" s="24">
        <f>[2]Base!AO84</f>
        <v>548677440</v>
      </c>
      <c r="N84" s="24">
        <f>[2]Base!AP84</f>
        <v>0</v>
      </c>
      <c r="O84" s="24">
        <f>[2]Base!AQ84</f>
        <v>548677440</v>
      </c>
      <c r="P84" s="24">
        <f>+[2]Base!ED84</f>
        <v>263154647.48201439</v>
      </c>
      <c r="Q84" s="157">
        <f>'[1]SITE (Imprensa)_PT'!P84</f>
        <v>9.1357610766719333E-2</v>
      </c>
      <c r="R84" s="157">
        <f>'[1]SITE (Imprensa)_PT'!Q84</f>
        <v>0.1796770977133669</v>
      </c>
      <c r="S84" s="157">
        <f>'[1]SITE (Imprensa)_PT'!R84</f>
        <v>0.72439976755741953</v>
      </c>
      <c r="T84" s="158">
        <f>'[1]SITE (Imprensa)_PT'!S84</f>
        <v>4.5655239624942476E-3</v>
      </c>
      <c r="U84" s="6"/>
    </row>
    <row r="85" spans="2:21" ht="13.2" x14ac:dyDescent="0.25">
      <c r="B85" s="40" t="str">
        <f>[2]Base!A85</f>
        <v>EMBRAER</v>
      </c>
      <c r="C85" s="41" t="str">
        <f>[2]Base!C85</f>
        <v>NM</v>
      </c>
      <c r="D85" s="19" t="s">
        <v>89</v>
      </c>
      <c r="E85" s="19" t="str">
        <f>[2]Base!M85</f>
        <v>JP Morgan</v>
      </c>
      <c r="F85" s="19" t="str">
        <f>[2]Base!F85</f>
        <v>FOLLOW-ON</v>
      </c>
      <c r="G85" s="19" t="str">
        <f>[2]Base!G85</f>
        <v>ICVM 400</v>
      </c>
      <c r="H85" s="20">
        <f>[2]Base!X85</f>
        <v>39119</v>
      </c>
      <c r="I85" s="21">
        <f>[2]Base!W85</f>
        <v>21.35</v>
      </c>
      <c r="J85" s="22">
        <f>[2]Base!J85</f>
        <v>39121</v>
      </c>
      <c r="K85" s="23">
        <f>'[1]SITE (Imprensa)_PT'!K85</f>
        <v>3936</v>
      </c>
      <c r="L85" s="23">
        <f>[2]Base!DZ85</f>
        <v>4278</v>
      </c>
      <c r="M85" s="24">
        <f>[2]Base!AO85</f>
        <v>0</v>
      </c>
      <c r="N85" s="24">
        <f>[2]Base!AP85</f>
        <v>1789970677.6000001</v>
      </c>
      <c r="O85" s="24">
        <f>[2]Base!AQ85</f>
        <v>1789970677.6000001</v>
      </c>
      <c r="P85" s="24">
        <f>+[2]Base!ED85</f>
        <v>854360497.16004014</v>
      </c>
      <c r="Q85" s="157">
        <f>'[1]SITE (Imprensa)_PT'!P85</f>
        <v>2.0537318884625285E-2</v>
      </c>
      <c r="R85" s="157">
        <f>'[1]SITE (Imprensa)_PT'!Q85</f>
        <v>9.8686695855179057E-2</v>
      </c>
      <c r="S85" s="157">
        <f>'[1]SITE (Imprensa)_PT'!R85</f>
        <v>0.88041722781906206</v>
      </c>
      <c r="T85" s="158">
        <f>'[1]SITE (Imprensa)_PT'!S85</f>
        <v>3.5875744113362677E-4</v>
      </c>
      <c r="U85" s="6"/>
    </row>
    <row r="86" spans="2:21" ht="13.2" x14ac:dyDescent="0.25">
      <c r="B86" s="40" t="str">
        <f>[2]Base!A86</f>
        <v>SUZANO PAPEL</v>
      </c>
      <c r="C86" s="41" t="str">
        <f>[2]Base!C86</f>
        <v>N1</v>
      </c>
      <c r="D86" s="19" t="s">
        <v>90</v>
      </c>
      <c r="E86" s="19" t="str">
        <f>[2]Base!M86</f>
        <v>Credit Suisse</v>
      </c>
      <c r="F86" s="19" t="str">
        <f>[2]Base!F86</f>
        <v>FOLLOW-ON</v>
      </c>
      <c r="G86" s="19" t="str">
        <f>[2]Base!G86</f>
        <v>ICVM 400</v>
      </c>
      <c r="H86" s="20">
        <f>[2]Base!X86</f>
        <v>39120</v>
      </c>
      <c r="I86" s="21">
        <f>[2]Base!W86</f>
        <v>23</v>
      </c>
      <c r="J86" s="22">
        <f>[2]Base!J86</f>
        <v>39122</v>
      </c>
      <c r="K86" s="23">
        <f>'[1]SITE (Imprensa)_PT'!K86</f>
        <v>2866</v>
      </c>
      <c r="L86" s="23">
        <f>[2]Base!DZ86</f>
        <v>3144</v>
      </c>
      <c r="M86" s="24">
        <f>[2]Base!AO86</f>
        <v>0</v>
      </c>
      <c r="N86" s="24">
        <f>[2]Base!AP86</f>
        <v>543696011</v>
      </c>
      <c r="O86" s="24">
        <f>[2]Base!AQ86</f>
        <v>543696011</v>
      </c>
      <c r="P86" s="24">
        <f>+[2]Base!ED86</f>
        <v>259508381.9388096</v>
      </c>
      <c r="Q86" s="157">
        <f>'[1]SITE (Imprensa)_PT'!P86</f>
        <v>9.8276757921180652E-2</v>
      </c>
      <c r="R86" s="157">
        <f>'[1]SITE (Imprensa)_PT'!Q86</f>
        <v>0.3183769796794188</v>
      </c>
      <c r="S86" s="157">
        <f>'[1]SITE (Imprensa)_PT'!R86</f>
        <v>0.57541731678623453</v>
      </c>
      <c r="T86" s="158">
        <f>'[1]SITE (Imprensa)_PT'!S86</f>
        <v>7.9289456131660038E-3</v>
      </c>
      <c r="U86" s="6"/>
    </row>
    <row r="87" spans="2:21" ht="13.2" x14ac:dyDescent="0.25">
      <c r="B87" s="40" t="str">
        <f>[2]Base!A87</f>
        <v>SAO MARTINHO</v>
      </c>
      <c r="C87" s="41" t="str">
        <f>[2]Base!C87</f>
        <v>NM</v>
      </c>
      <c r="D87" s="19" t="s">
        <v>91</v>
      </c>
      <c r="E87" s="19" t="str">
        <f>[2]Base!M87</f>
        <v>UBS</v>
      </c>
      <c r="F87" s="19" t="str">
        <f>[2]Base!F87</f>
        <v>IPO</v>
      </c>
      <c r="G87" s="19" t="str">
        <f>[2]Base!G87</f>
        <v>ICVM 400</v>
      </c>
      <c r="H87" s="20">
        <f>[2]Base!X87</f>
        <v>39121</v>
      </c>
      <c r="I87" s="21">
        <f>[2]Base!W87</f>
        <v>20</v>
      </c>
      <c r="J87" s="22">
        <f>[2]Base!J87</f>
        <v>39125</v>
      </c>
      <c r="K87" s="23">
        <f>'[1]SITE (Imprensa)_PT'!K87</f>
        <v>24369</v>
      </c>
      <c r="L87" s="23">
        <f>[2]Base!DZ87</f>
        <v>25864</v>
      </c>
      <c r="M87" s="24">
        <f>[2]Base!AO87</f>
        <v>260000000</v>
      </c>
      <c r="N87" s="24">
        <f>[2]Base!AP87</f>
        <v>163680000</v>
      </c>
      <c r="O87" s="24">
        <f>[2]Base!AQ87</f>
        <v>423680000</v>
      </c>
      <c r="P87" s="24">
        <f>+[2]Base!ED87</f>
        <v>200416272.46925262</v>
      </c>
      <c r="Q87" s="157">
        <f>'[1]SITE (Imprensa)_PT'!P87</f>
        <v>0.1025470166163142</v>
      </c>
      <c r="R87" s="157">
        <f>'[1]SITE (Imprensa)_PT'!Q87</f>
        <v>0.28305664652567974</v>
      </c>
      <c r="S87" s="157">
        <f>'[1]SITE (Imprensa)_PT'!R87</f>
        <v>0.5342703455438067</v>
      </c>
      <c r="T87" s="158">
        <f>'[1]SITE (Imprensa)_PT'!S87</f>
        <v>8.0125991314199396E-2</v>
      </c>
      <c r="U87" s="6"/>
    </row>
    <row r="88" spans="2:21" ht="13.2" x14ac:dyDescent="0.25">
      <c r="B88" s="40" t="str">
        <f>[2]Base!A88</f>
        <v>GVT HOLDING</v>
      </c>
      <c r="C88" s="41" t="str">
        <f>[2]Base!C88</f>
        <v>NM</v>
      </c>
      <c r="D88" s="19" t="s">
        <v>92</v>
      </c>
      <c r="E88" s="19" t="str">
        <f>[2]Base!M88</f>
        <v>Credit Suisse</v>
      </c>
      <c r="F88" s="19" t="str">
        <f>[2]Base!F88</f>
        <v>IPO</v>
      </c>
      <c r="G88" s="19" t="str">
        <f>[2]Base!G88</f>
        <v>ICVM 400</v>
      </c>
      <c r="H88" s="20">
        <f>[2]Base!X88</f>
        <v>39127</v>
      </c>
      <c r="I88" s="21">
        <f>[2]Base!W88</f>
        <v>18</v>
      </c>
      <c r="J88" s="22">
        <f>[2]Base!J88</f>
        <v>39129</v>
      </c>
      <c r="K88" s="23">
        <f>'[1]SITE (Imprensa)_PT'!K88</f>
        <v>14427</v>
      </c>
      <c r="L88" s="23">
        <f>[2]Base!DZ88</f>
        <v>15645</v>
      </c>
      <c r="M88" s="24">
        <f>[2]Base!AO88</f>
        <v>1076400000</v>
      </c>
      <c r="N88" s="24">
        <f>[2]Base!AP88</f>
        <v>0</v>
      </c>
      <c r="O88" s="24">
        <f>[2]Base!AQ88</f>
        <v>1076400000</v>
      </c>
      <c r="P88" s="24">
        <f>+[2]Base!ED88</f>
        <v>514703772.77291638</v>
      </c>
      <c r="Q88" s="157">
        <f>'[1]SITE (Imprensa)_PT'!P88</f>
        <v>9.1264498327759194E-2</v>
      </c>
      <c r="R88" s="157">
        <f>'[1]SITE (Imprensa)_PT'!Q88</f>
        <v>0.14677496655518393</v>
      </c>
      <c r="S88" s="157">
        <f>'[1]SITE (Imprensa)_PT'!R88</f>
        <v>0.75946956521739128</v>
      </c>
      <c r="T88" s="158">
        <f>'[1]SITE (Imprensa)_PT'!S88</f>
        <v>2.4909698996655517E-3</v>
      </c>
      <c r="U88" s="6"/>
    </row>
    <row r="89" spans="2:21" ht="13.2" x14ac:dyDescent="0.25">
      <c r="B89" s="40" t="str">
        <f>[2]Base!A89</f>
        <v>ANHANGUERA</v>
      </c>
      <c r="C89" s="41" t="str">
        <f>[2]Base!C89</f>
        <v>N2</v>
      </c>
      <c r="D89" s="19" t="s">
        <v>93</v>
      </c>
      <c r="E89" s="19" t="str">
        <f>[2]Base!M89</f>
        <v>Credit Suisse</v>
      </c>
      <c r="F89" s="19" t="str">
        <f>[2]Base!F89</f>
        <v>IPO</v>
      </c>
      <c r="G89" s="19" t="str">
        <f>[2]Base!G89</f>
        <v>ICVM 400</v>
      </c>
      <c r="H89" s="20">
        <f>[2]Base!X89</f>
        <v>39149</v>
      </c>
      <c r="I89" s="21">
        <f>[2]Base!W89</f>
        <v>18</v>
      </c>
      <c r="J89" s="22">
        <f>[2]Base!J89</f>
        <v>39153</v>
      </c>
      <c r="K89" s="23">
        <f>'[1]SITE (Imprensa)_PT'!K89</f>
        <v>13593</v>
      </c>
      <c r="L89" s="23">
        <f>[2]Base!DZ89</f>
        <v>14651</v>
      </c>
      <c r="M89" s="24">
        <f>[2]Base!AO89</f>
        <v>426825000</v>
      </c>
      <c r="N89" s="24">
        <f>[2]Base!AP89</f>
        <v>85500000</v>
      </c>
      <c r="O89" s="24">
        <f>[2]Base!AQ89</f>
        <v>512325000</v>
      </c>
      <c r="P89" s="24">
        <f>+[2]Base!ED89</f>
        <v>244979199.54095539</v>
      </c>
      <c r="Q89" s="157">
        <f>'[1]SITE (Imprensa)_PT'!P89</f>
        <v>9.0977953447518661E-2</v>
      </c>
      <c r="R89" s="157">
        <f>'[1]SITE (Imprensa)_PT'!Q89</f>
        <v>0.1501190689503733</v>
      </c>
      <c r="S89" s="157">
        <f>'[1]SITE (Imprensa)_PT'!R89</f>
        <v>0.75558208168642949</v>
      </c>
      <c r="T89" s="158">
        <f>'[1]SITE (Imprensa)_PT'!S89</f>
        <v>3.3208959156785242E-3</v>
      </c>
      <c r="U89" s="6"/>
    </row>
    <row r="90" spans="2:21" ht="13.2" x14ac:dyDescent="0.25">
      <c r="B90" s="40" t="str">
        <f>[2]Base!A90</f>
        <v>GAFISA</v>
      </c>
      <c r="C90" s="41" t="str">
        <f>[2]Base!C90</f>
        <v>NM</v>
      </c>
      <c r="D90" s="19" t="s">
        <v>77</v>
      </c>
      <c r="E90" s="19" t="str">
        <f>[2]Base!M90</f>
        <v>Merrill Lynch</v>
      </c>
      <c r="F90" s="19" t="str">
        <f>[2]Base!F90</f>
        <v>FOLLOW-ON</v>
      </c>
      <c r="G90" s="19" t="str">
        <f>[2]Base!G90</f>
        <v>ICVM 400</v>
      </c>
      <c r="H90" s="20">
        <f>[2]Base!X90</f>
        <v>39156</v>
      </c>
      <c r="I90" s="21">
        <f>[2]Base!W90</f>
        <v>26</v>
      </c>
      <c r="J90" s="22">
        <f>[2]Base!J90</f>
        <v>39157</v>
      </c>
      <c r="K90" s="23">
        <f>'[1]SITE (Imprensa)_PT'!K90</f>
        <v>5179</v>
      </c>
      <c r="L90" s="23">
        <f>[2]Base!DZ90</f>
        <v>5527</v>
      </c>
      <c r="M90" s="24">
        <f>[2]Base!AO90</f>
        <v>487811792</v>
      </c>
      <c r="N90" s="24">
        <f>[2]Base!AP90</f>
        <v>683493174</v>
      </c>
      <c r="O90" s="24">
        <f>[2]Base!AQ90</f>
        <v>1171304966</v>
      </c>
      <c r="P90" s="24">
        <f>+[2]Base!ED90</f>
        <v>560084620.09276533</v>
      </c>
      <c r="Q90" s="157">
        <f>'[1]SITE (Imprensa)_PT'!P90</f>
        <v>1.7998182075049541E-2</v>
      </c>
      <c r="R90" s="157">
        <f>'[1]SITE (Imprensa)_PT'!Q90</f>
        <v>4.4139026804235468E-2</v>
      </c>
      <c r="S90" s="157">
        <f>'[1]SITE (Imprensa)_PT'!R90</f>
        <v>0.92686157975286365</v>
      </c>
      <c r="T90" s="158">
        <f>'[1]SITE (Imprensa)_PT'!S90</f>
        <v>1.1001211367851359E-2</v>
      </c>
      <c r="U90" s="6"/>
    </row>
    <row r="91" spans="2:21" ht="13.2" x14ac:dyDescent="0.25">
      <c r="B91" s="40" t="str">
        <f>[2]Base!A91</f>
        <v>JBS</v>
      </c>
      <c r="C91" s="41" t="str">
        <f>[2]Base!C91</f>
        <v>NM</v>
      </c>
      <c r="D91" s="19" t="s">
        <v>86</v>
      </c>
      <c r="E91" s="19" t="str">
        <f>[2]Base!M91</f>
        <v>JP Morgan</v>
      </c>
      <c r="F91" s="19" t="str">
        <f>[2]Base!F91</f>
        <v>IPO</v>
      </c>
      <c r="G91" s="19" t="str">
        <f>[2]Base!G91</f>
        <v>ICVM 400</v>
      </c>
      <c r="H91" s="20">
        <f>[2]Base!X91</f>
        <v>39168</v>
      </c>
      <c r="I91" s="21">
        <f>[2]Base!W91</f>
        <v>8</v>
      </c>
      <c r="J91" s="22">
        <f>[2]Base!J91</f>
        <v>39170</v>
      </c>
      <c r="K91" s="23">
        <f>'[1]SITE (Imprensa)_PT'!K91</f>
        <v>22662</v>
      </c>
      <c r="L91" s="23">
        <f>[2]Base!DZ91</f>
        <v>23690</v>
      </c>
      <c r="M91" s="24">
        <f>[2]Base!AO91</f>
        <v>1216750400</v>
      </c>
      <c r="N91" s="24">
        <f>[2]Base!AP91</f>
        <v>400000000</v>
      </c>
      <c r="O91" s="24">
        <f>[2]Base!AQ91</f>
        <v>1616750400</v>
      </c>
      <c r="P91" s="24">
        <f>+[2]Base!ED91</f>
        <v>787122882.18111014</v>
      </c>
      <c r="Q91" s="157">
        <f>'[1]SITE (Imprensa)_PT'!P91</f>
        <v>8.7549017391304343E-2</v>
      </c>
      <c r="R91" s="157">
        <f>'[1]SITE (Imprensa)_PT'!Q91</f>
        <v>0.13164175217391305</v>
      </c>
      <c r="S91" s="157">
        <f>'[1]SITE (Imprensa)_PT'!R91</f>
        <v>0.74229666086956525</v>
      </c>
      <c r="T91" s="158">
        <f>'[1]SITE (Imprensa)_PT'!S91</f>
        <v>3.851256956521739E-2</v>
      </c>
      <c r="U91" s="6"/>
    </row>
    <row r="92" spans="2:21" ht="13.2" x14ac:dyDescent="0.25">
      <c r="B92" s="40" t="str">
        <f>[2]Base!A92</f>
        <v>PINE</v>
      </c>
      <c r="C92" s="41" t="str">
        <f>[2]Base!C92</f>
        <v>N1</v>
      </c>
      <c r="D92" s="19" t="s">
        <v>67</v>
      </c>
      <c r="E92" s="19" t="str">
        <f>[2]Base!M92</f>
        <v>Credit Suisse</v>
      </c>
      <c r="F92" s="19" t="str">
        <f>[2]Base!F92</f>
        <v>IPO</v>
      </c>
      <c r="G92" s="19" t="str">
        <f>[2]Base!G92</f>
        <v>ICVM 400</v>
      </c>
      <c r="H92" s="20">
        <f>[2]Base!X92</f>
        <v>39169</v>
      </c>
      <c r="I92" s="21">
        <f>[2]Base!W92</f>
        <v>19</v>
      </c>
      <c r="J92" s="22">
        <f>[2]Base!J92</f>
        <v>39174</v>
      </c>
      <c r="K92" s="23">
        <f>'[1]SITE (Imprensa)_PT'!K92</f>
        <v>20007</v>
      </c>
      <c r="L92" s="23">
        <f>[2]Base!DZ92</f>
        <v>20668</v>
      </c>
      <c r="M92" s="24">
        <f>[2]Base!AO92</f>
        <v>356859900</v>
      </c>
      <c r="N92" s="24">
        <f>[2]Base!AP92</f>
        <v>160328365</v>
      </c>
      <c r="O92" s="24">
        <f>[2]Base!AQ92</f>
        <v>517188265</v>
      </c>
      <c r="P92" s="24">
        <f>+[2]Base!ED92</f>
        <v>252656700.04885197</v>
      </c>
      <c r="Q92" s="157">
        <f>'[1]SITE (Imprensa)_PT'!P92</f>
        <v>8.7947833309374349E-2</v>
      </c>
      <c r="R92" s="157">
        <f>'[1]SITE (Imprensa)_PT'!Q92</f>
        <v>0.12637973389557078</v>
      </c>
      <c r="S92" s="157">
        <f>'[1]SITE (Imprensa)_PT'!R92</f>
        <v>0.7844617055600811</v>
      </c>
      <c r="T92" s="158">
        <f>'[1]SITE (Imprensa)_PT'!S92</f>
        <v>1.2107272349737249E-3</v>
      </c>
      <c r="U92" s="6"/>
    </row>
    <row r="93" spans="2:21" ht="13.2" x14ac:dyDescent="0.25">
      <c r="B93" s="40" t="str">
        <f>[2]Base!A93</f>
        <v>EVEN</v>
      </c>
      <c r="C93" s="41" t="str">
        <f>[2]Base!C93</f>
        <v>NM</v>
      </c>
      <c r="D93" s="19" t="s">
        <v>77</v>
      </c>
      <c r="E93" s="19" t="str">
        <f>[2]Base!M93</f>
        <v>Itaú BBA</v>
      </c>
      <c r="F93" s="19" t="str">
        <f>[2]Base!F93</f>
        <v>IPO</v>
      </c>
      <c r="G93" s="19" t="str">
        <f>[2]Base!G93</f>
        <v>ICVM 400</v>
      </c>
      <c r="H93" s="20">
        <f>[2]Base!X93</f>
        <v>39170</v>
      </c>
      <c r="I93" s="21">
        <f>[2]Base!W93</f>
        <v>11.5</v>
      </c>
      <c r="J93" s="22">
        <f>[2]Base!J93</f>
        <v>39174</v>
      </c>
      <c r="K93" s="23">
        <f>'[1]SITE (Imprensa)_PT'!K93</f>
        <v>11251</v>
      </c>
      <c r="L93" s="23">
        <f>[2]Base!DZ93</f>
        <v>11634</v>
      </c>
      <c r="M93" s="24">
        <f>[2]Base!AO93</f>
        <v>460000000</v>
      </c>
      <c r="N93" s="24">
        <f>[2]Base!AP93</f>
        <v>0</v>
      </c>
      <c r="O93" s="24">
        <f>[2]Base!AQ93</f>
        <v>460000000</v>
      </c>
      <c r="P93" s="24">
        <f>+[2]Base!ED93</f>
        <v>224719101.12359548</v>
      </c>
      <c r="Q93" s="157">
        <f>'[1]SITE (Imprensa)_PT'!P93</f>
        <v>9.8570649999999996E-2</v>
      </c>
      <c r="R93" s="157">
        <f>'[1]SITE (Imprensa)_PT'!Q93</f>
        <v>0.20146249999999999</v>
      </c>
      <c r="S93" s="157">
        <f>'[1]SITE (Imprensa)_PT'!R93</f>
        <v>0.52511792499999999</v>
      </c>
      <c r="T93" s="158">
        <f>'[1]SITE (Imprensa)_PT'!S93</f>
        <v>0.17484892499999999</v>
      </c>
      <c r="U93" s="6"/>
    </row>
    <row r="94" spans="2:21" ht="13.2" x14ac:dyDescent="0.25">
      <c r="B94" s="40" t="str">
        <f>[2]Base!A94</f>
        <v>BR MALLS PAR</v>
      </c>
      <c r="C94" s="41" t="str">
        <f>[2]Base!C94</f>
        <v>NM</v>
      </c>
      <c r="D94" s="19" t="s">
        <v>82</v>
      </c>
      <c r="E94" s="19" t="str">
        <f>[2]Base!M94</f>
        <v>UBS</v>
      </c>
      <c r="F94" s="19" t="str">
        <f>[2]Base!F94</f>
        <v>IPO</v>
      </c>
      <c r="G94" s="19" t="str">
        <f>[2]Base!G94</f>
        <v>ICVM 400</v>
      </c>
      <c r="H94" s="20">
        <f>[2]Base!X94</f>
        <v>39174</v>
      </c>
      <c r="I94" s="21">
        <f>[2]Base!W94</f>
        <v>15</v>
      </c>
      <c r="J94" s="22">
        <f>[2]Base!J94</f>
        <v>39177</v>
      </c>
      <c r="K94" s="23">
        <f>'[1]SITE (Imprensa)_PT'!K94</f>
        <v>13777</v>
      </c>
      <c r="L94" s="23">
        <f>[2]Base!DZ94</f>
        <v>14518</v>
      </c>
      <c r="M94" s="24">
        <f>[2]Base!AO94</f>
        <v>657118665</v>
      </c>
      <c r="N94" s="24">
        <f>[2]Base!AP94</f>
        <v>0</v>
      </c>
      <c r="O94" s="24">
        <f>[2]Base!AQ94</f>
        <v>657118665</v>
      </c>
      <c r="P94" s="24">
        <f>+[2]Base!ED94</f>
        <v>323703775.86206901</v>
      </c>
      <c r="Q94" s="157">
        <f>'[1]SITE (Imprensa)_PT'!P94</f>
        <v>0.10142228878442967</v>
      </c>
      <c r="R94" s="157">
        <f>'[1]SITE (Imprensa)_PT'!Q94</f>
        <v>0.21606554127661737</v>
      </c>
      <c r="S94" s="157">
        <f>'[1]SITE (Imprensa)_PT'!R94</f>
        <v>0.68097424418826791</v>
      </c>
      <c r="T94" s="158">
        <f>'[1]SITE (Imprensa)_PT'!S94</f>
        <v>1.5379257506850975E-3</v>
      </c>
      <c r="U94" s="6"/>
    </row>
    <row r="95" spans="2:21" ht="13.2" x14ac:dyDescent="0.25">
      <c r="B95" s="40" t="str">
        <f>[2]Base!A95</f>
        <v>FER HERINGER</v>
      </c>
      <c r="C95" s="41" t="str">
        <f>[2]Base!C95</f>
        <v>NM</v>
      </c>
      <c r="D95" s="19" t="s">
        <v>94</v>
      </c>
      <c r="E95" s="19" t="str">
        <f>[2]Base!M95</f>
        <v>UBS</v>
      </c>
      <c r="F95" s="19" t="str">
        <f>[2]Base!F95</f>
        <v>IPO</v>
      </c>
      <c r="G95" s="19" t="str">
        <f>[2]Base!G95</f>
        <v>ICVM 400</v>
      </c>
      <c r="H95" s="20">
        <f>[2]Base!X95</f>
        <v>39182</v>
      </c>
      <c r="I95" s="21">
        <f>[2]Base!W95</f>
        <v>17</v>
      </c>
      <c r="J95" s="22">
        <f>[2]Base!J95</f>
        <v>39184</v>
      </c>
      <c r="K95" s="23">
        <f>'[1]SITE (Imprensa)_PT'!K95</f>
        <v>9169</v>
      </c>
      <c r="L95" s="23">
        <f>[2]Base!DZ95</f>
        <v>9770</v>
      </c>
      <c r="M95" s="24">
        <f>[2]Base!AO95</f>
        <v>203163056</v>
      </c>
      <c r="N95" s="24">
        <f>[2]Base!AP95</f>
        <v>146414302</v>
      </c>
      <c r="O95" s="24">
        <f>[2]Base!AQ95</f>
        <v>349577358</v>
      </c>
      <c r="P95" s="24">
        <f>+[2]Base!ED95</f>
        <v>172205595.07389164</v>
      </c>
      <c r="Q95" s="157">
        <f>'[1]SITE (Imprensa)_PT'!P95</f>
        <v>0.11210738082184372</v>
      </c>
      <c r="R95" s="157">
        <f>'[1]SITE (Imprensa)_PT'!Q95</f>
        <v>0.23125582406855996</v>
      </c>
      <c r="S95" s="157">
        <f>'[1]SITE (Imprensa)_PT'!R95</f>
        <v>0.65372355723336062</v>
      </c>
      <c r="T95" s="158">
        <f>'[1]SITE (Imprensa)_PT'!S95</f>
        <v>2.9132378762356799E-3</v>
      </c>
      <c r="U95" s="6"/>
    </row>
    <row r="96" spans="2:21" ht="13.2" x14ac:dyDescent="0.25">
      <c r="B96" s="40" t="str">
        <f>[2]Base!A96</f>
        <v>JHSF PART</v>
      </c>
      <c r="C96" s="41" t="str">
        <f>[2]Base!C96</f>
        <v>NM</v>
      </c>
      <c r="D96" s="19" t="s">
        <v>77</v>
      </c>
      <c r="E96" s="19" t="str">
        <f>[2]Base!M96</f>
        <v>Credit Suisse</v>
      </c>
      <c r="F96" s="19" t="str">
        <f>[2]Base!F96</f>
        <v>IPO</v>
      </c>
      <c r="G96" s="19" t="str">
        <f>[2]Base!G96</f>
        <v>ICVM 400</v>
      </c>
      <c r="H96" s="20">
        <f>[2]Base!X96</f>
        <v>39182</v>
      </c>
      <c r="I96" s="21">
        <f>[2]Base!W96</f>
        <v>8</v>
      </c>
      <c r="J96" s="22">
        <f>[2]Base!J96</f>
        <v>39184</v>
      </c>
      <c r="K96" s="23">
        <f>'[1]SITE (Imprensa)_PT'!K96</f>
        <v>4524</v>
      </c>
      <c r="L96" s="23">
        <f>[2]Base!DZ96</f>
        <v>4749</v>
      </c>
      <c r="M96" s="24">
        <f>[2]Base!AO96</f>
        <v>432400000</v>
      </c>
      <c r="N96" s="24">
        <f>[2]Base!AP96</f>
        <v>0</v>
      </c>
      <c r="O96" s="24">
        <f>[2]Base!AQ96</f>
        <v>432400000</v>
      </c>
      <c r="P96" s="24">
        <f>+[2]Base!ED96</f>
        <v>213004926.10837442</v>
      </c>
      <c r="Q96" s="157">
        <f>'[1]SITE (Imprensa)_PT'!P96</f>
        <v>8.6073709528214609E-2</v>
      </c>
      <c r="R96" s="157">
        <f>'[1]SITE (Imprensa)_PT'!Q96</f>
        <v>1.3013876040703053E-2</v>
      </c>
      <c r="S96" s="157">
        <f>'[1]SITE (Imprensa)_PT'!R96</f>
        <v>0.89260917668825157</v>
      </c>
      <c r="T96" s="158">
        <f>'[1]SITE (Imprensa)_PT'!S96</f>
        <v>8.3032377428307116E-3</v>
      </c>
      <c r="U96" s="6"/>
    </row>
    <row r="97" spans="2:21" ht="13.2" x14ac:dyDescent="0.25">
      <c r="B97" s="40" t="str">
        <f>[2]Base!A97</f>
        <v>METALFRIO</v>
      </c>
      <c r="C97" s="41" t="str">
        <f>[2]Base!C97</f>
        <v>NM</v>
      </c>
      <c r="D97" s="19" t="s">
        <v>95</v>
      </c>
      <c r="E97" s="19" t="str">
        <f>[2]Base!M97</f>
        <v>UBS</v>
      </c>
      <c r="F97" s="19" t="str">
        <f>[2]Base!F97</f>
        <v>IPO</v>
      </c>
      <c r="G97" s="19" t="str">
        <f>[2]Base!G97</f>
        <v>ICVM 400</v>
      </c>
      <c r="H97" s="20">
        <f>[2]Base!X97</f>
        <v>39183</v>
      </c>
      <c r="I97" s="21">
        <f>[2]Base!W97</f>
        <v>19</v>
      </c>
      <c r="J97" s="22">
        <f>[2]Base!J97</f>
        <v>39185</v>
      </c>
      <c r="K97" s="23">
        <f>'[1]SITE (Imprensa)_PT'!K97</f>
        <v>9576</v>
      </c>
      <c r="L97" s="23">
        <f>[2]Base!DZ97</f>
        <v>9970</v>
      </c>
      <c r="M97" s="24">
        <f>[2]Base!AO97</f>
        <v>302280500</v>
      </c>
      <c r="N97" s="24">
        <f>[2]Base!AP97</f>
        <v>150670000</v>
      </c>
      <c r="O97" s="24">
        <f>[2]Base!AQ97</f>
        <v>452950500</v>
      </c>
      <c r="P97" s="24">
        <f>+[2]Base!ED97</f>
        <v>224232920.79207921</v>
      </c>
      <c r="Q97" s="157">
        <f>'[1]SITE (Imprensa)_PT'!P97</f>
        <v>8.5067933471759061E-2</v>
      </c>
      <c r="R97" s="157">
        <f>'[1]SITE (Imprensa)_PT'!Q97</f>
        <v>0.21442144340275593</v>
      </c>
      <c r="S97" s="157">
        <f>'[1]SITE (Imprensa)_PT'!R97</f>
        <v>0.56849669665890645</v>
      </c>
      <c r="T97" s="158">
        <f>'[1]SITE (Imprensa)_PT'!S97</f>
        <v>0.13201392646657858</v>
      </c>
      <c r="U97" s="6"/>
    </row>
    <row r="98" spans="2:21" ht="13.2" x14ac:dyDescent="0.25">
      <c r="B98" s="40" t="str">
        <f>[2]Base!A98</f>
        <v>INDS ROMI</v>
      </c>
      <c r="C98" s="41" t="str">
        <f>[2]Base!C98</f>
        <v>NM</v>
      </c>
      <c r="D98" s="19" t="s">
        <v>96</v>
      </c>
      <c r="E98" s="19" t="str">
        <f>[2]Base!M98</f>
        <v>Itaú BBA</v>
      </c>
      <c r="F98" s="19" t="str">
        <f>[2]Base!F98</f>
        <v>FOLLOW-ON</v>
      </c>
      <c r="G98" s="19" t="str">
        <f>[2]Base!G98</f>
        <v>ICVM 400</v>
      </c>
      <c r="H98" s="20">
        <f>[2]Base!X98</f>
        <v>39183</v>
      </c>
      <c r="I98" s="21">
        <f>[2]Base!W98</f>
        <v>15</v>
      </c>
      <c r="J98" s="22">
        <f>[2]Base!J98</f>
        <v>39185</v>
      </c>
      <c r="K98" s="23">
        <f>'[1]SITE (Imprensa)_PT'!K98</f>
        <v>2375</v>
      </c>
      <c r="L98" s="23">
        <f>[2]Base!DZ98</f>
        <v>2668</v>
      </c>
      <c r="M98" s="24">
        <f>[2]Base!AO98</f>
        <v>242935785</v>
      </c>
      <c r="N98" s="24">
        <f>[2]Base!AP98</f>
        <v>239571885</v>
      </c>
      <c r="O98" s="24">
        <f>[2]Base!AQ98</f>
        <v>482507670</v>
      </c>
      <c r="P98" s="24">
        <f>+[2]Base!ED98</f>
        <v>238865183.16831684</v>
      </c>
      <c r="Q98" s="157">
        <f>'[1]SITE (Imprensa)_PT'!P98</f>
        <v>5.3900283077365378E-2</v>
      </c>
      <c r="R98" s="157">
        <f>'[1]SITE (Imprensa)_PT'!Q98</f>
        <v>0.17656817766233643</v>
      </c>
      <c r="S98" s="157">
        <f>'[1]SITE (Imprensa)_PT'!R98</f>
        <v>0.43783759955567131</v>
      </c>
      <c r="T98" s="158">
        <f>'[1]SITE (Imprensa)_PT'!S98</f>
        <v>0.33169393970462685</v>
      </c>
      <c r="U98" s="6"/>
    </row>
    <row r="99" spans="2:21" ht="13.2" x14ac:dyDescent="0.25">
      <c r="B99" s="40" t="str">
        <f>[2]Base!A99</f>
        <v>BEMATECH</v>
      </c>
      <c r="C99" s="41" t="str">
        <f>[2]Base!C99</f>
        <v>NM</v>
      </c>
      <c r="D99" s="19" t="s">
        <v>97</v>
      </c>
      <c r="E99" s="19" t="str">
        <f>[2]Base!M99</f>
        <v>Itaú BBA</v>
      </c>
      <c r="F99" s="19" t="str">
        <f>[2]Base!F99</f>
        <v>IPO</v>
      </c>
      <c r="G99" s="19" t="str">
        <f>[2]Base!G99</f>
        <v>ICVM 400</v>
      </c>
      <c r="H99" s="20">
        <f>[2]Base!X99</f>
        <v>39189</v>
      </c>
      <c r="I99" s="21">
        <f>[2]Base!W99</f>
        <v>15</v>
      </c>
      <c r="J99" s="22">
        <f>[2]Base!J99</f>
        <v>39191</v>
      </c>
      <c r="K99" s="23">
        <f>'[1]SITE (Imprensa)_PT'!K99</f>
        <v>8629</v>
      </c>
      <c r="L99" s="23">
        <f>[2]Base!DZ99</f>
        <v>9331</v>
      </c>
      <c r="M99" s="24">
        <f>[2]Base!AO99</f>
        <v>270000030</v>
      </c>
      <c r="N99" s="24">
        <f>[2]Base!AP99</f>
        <v>136630020</v>
      </c>
      <c r="O99" s="24">
        <f>[2]Base!AQ99</f>
        <v>406630050</v>
      </c>
      <c r="P99" s="24">
        <f>+[2]Base!ED99</f>
        <v>201302004.95049503</v>
      </c>
      <c r="Q99" s="157">
        <f>'[1]SITE (Imprensa)_PT'!P99</f>
        <v>8.8202593487618539E-2</v>
      </c>
      <c r="R99" s="157">
        <f>'[1]SITE (Imprensa)_PT'!Q99</f>
        <v>0.1961198022625234</v>
      </c>
      <c r="S99" s="157">
        <f>'[1]SITE (Imprensa)_PT'!R99</f>
        <v>0.70451457043078836</v>
      </c>
      <c r="T99" s="158">
        <f>'[1]SITE (Imprensa)_PT'!S99</f>
        <v>1.1163033819069693E-2</v>
      </c>
      <c r="U99" s="6"/>
    </row>
    <row r="100" spans="2:21" ht="13.2" x14ac:dyDescent="0.25">
      <c r="B100" s="40" t="str">
        <f>[2]Base!A100</f>
        <v>CR2</v>
      </c>
      <c r="C100" s="41" t="str">
        <f>[2]Base!C100</f>
        <v>NM</v>
      </c>
      <c r="D100" s="19" t="s">
        <v>77</v>
      </c>
      <c r="E100" s="19" t="str">
        <f>[2]Base!M100</f>
        <v>Unibanco</v>
      </c>
      <c r="F100" s="19" t="str">
        <f>[2]Base!F100</f>
        <v>IPO</v>
      </c>
      <c r="G100" s="19" t="str">
        <f>[2]Base!G100</f>
        <v>ICVM 400</v>
      </c>
      <c r="H100" s="20">
        <f>[2]Base!X100</f>
        <v>39191</v>
      </c>
      <c r="I100" s="21">
        <f>[2]Base!W100</f>
        <v>20</v>
      </c>
      <c r="J100" s="22">
        <f>[2]Base!J100</f>
        <v>39195</v>
      </c>
      <c r="K100" s="23">
        <f>'[1]SITE (Imprensa)_PT'!K100</f>
        <v>2755</v>
      </c>
      <c r="L100" s="23">
        <f>[2]Base!DZ100</f>
        <v>2926</v>
      </c>
      <c r="M100" s="24">
        <f>[2]Base!AO100</f>
        <v>307575000</v>
      </c>
      <c r="N100" s="24">
        <f>[2]Base!AP100</f>
        <v>0</v>
      </c>
      <c r="O100" s="24">
        <f>[2]Base!AQ100</f>
        <v>307575000</v>
      </c>
      <c r="P100" s="24">
        <f>+[2]Base!ED100</f>
        <v>151514778.32512316</v>
      </c>
      <c r="Q100" s="157">
        <f>'[1]SITE (Imprensa)_PT'!P100</f>
        <v>7.4582784686661796E-2</v>
      </c>
      <c r="R100" s="157">
        <f>'[1]SITE (Imprensa)_PT'!Q100</f>
        <v>0</v>
      </c>
      <c r="S100" s="157">
        <f>'[1]SITE (Imprensa)_PT'!R100</f>
        <v>0</v>
      </c>
      <c r="T100" s="158">
        <f>'[1]SITE (Imprensa)_PT'!S100</f>
        <v>0.9254172153133382</v>
      </c>
      <c r="U100" s="6"/>
    </row>
    <row r="101" spans="2:21" ht="13.2" x14ac:dyDescent="0.25">
      <c r="B101" s="40" t="str">
        <f>[2]Base!A101</f>
        <v>AGRA INCORP</v>
      </c>
      <c r="C101" s="41" t="str">
        <f>[2]Base!C101</f>
        <v>NM</v>
      </c>
      <c r="D101" s="19" t="s">
        <v>77</v>
      </c>
      <c r="E101" s="19" t="str">
        <f>[2]Base!M101</f>
        <v>Credit Suisse</v>
      </c>
      <c r="F101" s="19" t="str">
        <f>[2]Base!F101</f>
        <v>IPO</v>
      </c>
      <c r="G101" s="19" t="str">
        <f>[2]Base!G101</f>
        <v>ICVM 400</v>
      </c>
      <c r="H101" s="20">
        <f>[2]Base!X101</f>
        <v>39196</v>
      </c>
      <c r="I101" s="21">
        <f>[2]Base!W101</f>
        <v>8.5</v>
      </c>
      <c r="J101" s="22">
        <f>[2]Base!J101</f>
        <v>39198</v>
      </c>
      <c r="K101" s="23">
        <f>'[1]SITE (Imprensa)_PT'!K101</f>
        <v>5328</v>
      </c>
      <c r="L101" s="23">
        <f>[2]Base!DZ101</f>
        <v>5651</v>
      </c>
      <c r="M101" s="24">
        <f>[2]Base!AO101</f>
        <v>752348515</v>
      </c>
      <c r="N101" s="24">
        <f>[2]Base!AP101</f>
        <v>33688985</v>
      </c>
      <c r="O101" s="24">
        <f>[2]Base!AQ101</f>
        <v>786037500</v>
      </c>
      <c r="P101" s="24">
        <f>+[2]Base!ED101</f>
        <v>387210591.13300496</v>
      </c>
      <c r="Q101" s="157">
        <f>'[1]SITE (Imprensa)_PT'!P101</f>
        <v>7.165930251419303E-2</v>
      </c>
      <c r="R101" s="157">
        <f>'[1]SITE (Imprensa)_PT'!Q101</f>
        <v>0.25064001081373344</v>
      </c>
      <c r="S101" s="157">
        <f>'[1]SITE (Imprensa)_PT'!R101</f>
        <v>0.67498030819140309</v>
      </c>
      <c r="T101" s="158">
        <f>'[1]SITE (Imprensa)_PT'!S101</f>
        <v>2.7203784806704517E-3</v>
      </c>
      <c r="U101" s="6"/>
    </row>
    <row r="102" spans="2:21" ht="13.2" x14ac:dyDescent="0.25">
      <c r="B102" s="40" t="str">
        <f>[2]Base!A102</f>
        <v>USIMINAS</v>
      </c>
      <c r="C102" s="41" t="str">
        <f>[2]Base!C102</f>
        <v>BÁSICO</v>
      </c>
      <c r="D102" s="19" t="s">
        <v>65</v>
      </c>
      <c r="E102" s="19" t="str">
        <f>[2]Base!M102</f>
        <v>Merrill Lynch</v>
      </c>
      <c r="F102" s="19" t="str">
        <f>[2]Base!F102</f>
        <v>FOLLOW-ON</v>
      </c>
      <c r="G102" s="19" t="str">
        <f>[2]Base!G102</f>
        <v>ICVM 400</v>
      </c>
      <c r="H102" s="20">
        <f>[2]Base!X102</f>
        <v>39197</v>
      </c>
      <c r="I102" s="21">
        <f>[2]Base!W102</f>
        <v>110</v>
      </c>
      <c r="J102" s="22">
        <f>[2]Base!J102</f>
        <v>39199</v>
      </c>
      <c r="K102" s="23">
        <f>'[1]SITE (Imprensa)_PT'!K102</f>
        <v>7045</v>
      </c>
      <c r="L102" s="23">
        <f>[2]Base!DZ102</f>
        <v>7789</v>
      </c>
      <c r="M102" s="24">
        <f>[2]Base!AO102</f>
        <v>0</v>
      </c>
      <c r="N102" s="24">
        <f>[2]Base!AP102</f>
        <v>2069007490</v>
      </c>
      <c r="O102" s="24">
        <f>[2]Base!AQ102</f>
        <v>2069007490</v>
      </c>
      <c r="P102" s="24">
        <f>+[2]Base!ED102</f>
        <v>1019215512.315271</v>
      </c>
      <c r="Q102" s="157">
        <f>'[1]SITE (Imprensa)_PT'!P102</f>
        <v>5.8990912585232459E-2</v>
      </c>
      <c r="R102" s="157">
        <f>'[1]SITE (Imprensa)_PT'!Q102</f>
        <v>0.24308114693767627</v>
      </c>
      <c r="S102" s="157">
        <f>'[1]SITE (Imprensa)_PT'!R102</f>
        <v>0.69470308829783978</v>
      </c>
      <c r="T102" s="158">
        <f>'[1]SITE (Imprensa)_PT'!S102</f>
        <v>3.2248521792514716E-3</v>
      </c>
      <c r="U102" s="6"/>
    </row>
    <row r="103" spans="2:21" ht="13.2" x14ac:dyDescent="0.25">
      <c r="B103" s="40" t="str">
        <f>[2]Base!A103</f>
        <v>CREMER</v>
      </c>
      <c r="C103" s="41" t="str">
        <f>[2]Base!C103</f>
        <v>NM</v>
      </c>
      <c r="D103" s="19" t="s">
        <v>98</v>
      </c>
      <c r="E103" s="19" t="str">
        <f>[2]Base!M103</f>
        <v>Merrill Lynch</v>
      </c>
      <c r="F103" s="19" t="str">
        <f>[2]Base!F103</f>
        <v>IPO</v>
      </c>
      <c r="G103" s="19" t="str">
        <f>[2]Base!G103</f>
        <v>ICVM 400</v>
      </c>
      <c r="H103" s="20">
        <f>[2]Base!X103</f>
        <v>39198</v>
      </c>
      <c r="I103" s="21">
        <f>[2]Base!W103</f>
        <v>17.5</v>
      </c>
      <c r="J103" s="22">
        <f>[2]Base!J103</f>
        <v>39202</v>
      </c>
      <c r="K103" s="23">
        <f>'[1]SITE (Imprensa)_PT'!K103</f>
        <v>9370</v>
      </c>
      <c r="L103" s="23">
        <f>[2]Base!DZ103</f>
        <v>9717</v>
      </c>
      <c r="M103" s="24">
        <f>[2]Base!AO103</f>
        <v>210000000</v>
      </c>
      <c r="N103" s="24">
        <f>[2]Base!AP103</f>
        <v>341631500</v>
      </c>
      <c r="O103" s="24">
        <f>[2]Base!AQ103</f>
        <v>551631500</v>
      </c>
      <c r="P103" s="24">
        <f>+[2]Base!ED103</f>
        <v>271739655.17241383</v>
      </c>
      <c r="Q103" s="157">
        <f>'[1]SITE (Imprensa)_PT'!P103</f>
        <v>8.5369216202125051E-2</v>
      </c>
      <c r="R103" s="157">
        <f>'[1]SITE (Imprensa)_PT'!Q103</f>
        <v>0.15720361125926635</v>
      </c>
      <c r="S103" s="157">
        <f>'[1]SITE (Imprensa)_PT'!R103</f>
        <v>0.75583284891560343</v>
      </c>
      <c r="T103" s="158">
        <f>'[1]SITE (Imprensa)_PT'!S103</f>
        <v>1.5943236230051478E-3</v>
      </c>
      <c r="U103" s="6"/>
    </row>
    <row r="104" spans="2:21" ht="13.2" x14ac:dyDescent="0.25">
      <c r="B104" s="40" t="str">
        <f>[2]Base!A104</f>
        <v>WILSON SONS</v>
      </c>
      <c r="C104" s="41" t="str">
        <f>[2]Base!C104</f>
        <v>BDR</v>
      </c>
      <c r="D104" s="19" t="s">
        <v>99</v>
      </c>
      <c r="E104" s="19" t="str">
        <f>[2]Base!M104</f>
        <v>Credit Suisse</v>
      </c>
      <c r="F104" s="19" t="str">
        <f>[2]Base!F104</f>
        <v>IPO</v>
      </c>
      <c r="G104" s="19" t="str">
        <f>[2]Base!G104</f>
        <v>ICVM 400</v>
      </c>
      <c r="H104" s="20">
        <f>[2]Base!X104</f>
        <v>39198</v>
      </c>
      <c r="I104" s="21">
        <f>[2]Base!W104</f>
        <v>23.77</v>
      </c>
      <c r="J104" s="22">
        <f>[2]Base!J104</f>
        <v>39202</v>
      </c>
      <c r="K104" s="23">
        <f>'[1]SITE (Imprensa)_PT'!K104</f>
        <v>11775</v>
      </c>
      <c r="L104" s="23">
        <f>[2]Base!DZ104</f>
        <v>12393</v>
      </c>
      <c r="M104" s="24">
        <f>[2]Base!AO104</f>
        <v>261470000</v>
      </c>
      <c r="N104" s="24">
        <f>[2]Base!AP104</f>
        <v>444499000</v>
      </c>
      <c r="O104" s="24">
        <f>[2]Base!AQ104</f>
        <v>705969000</v>
      </c>
      <c r="P104" s="24">
        <f>+[2]Base!ED104</f>
        <v>347767980.29556656</v>
      </c>
      <c r="Q104" s="157">
        <f>'[1]SITE (Imprensa)_PT'!P104</f>
        <v>7.3848552188552186E-2</v>
      </c>
      <c r="R104" s="157">
        <f>'[1]SITE (Imprensa)_PT'!Q104</f>
        <v>0.13604070707070706</v>
      </c>
      <c r="S104" s="157">
        <f>'[1]SITE (Imprensa)_PT'!R104</f>
        <v>0.74198851851851855</v>
      </c>
      <c r="T104" s="158">
        <f>'[1]SITE (Imprensa)_PT'!S104</f>
        <v>4.8122222222222226E-2</v>
      </c>
      <c r="U104" s="6"/>
    </row>
    <row r="105" spans="2:21" ht="13.2" x14ac:dyDescent="0.25">
      <c r="B105" s="40" t="str">
        <f>[2]Base!A105</f>
        <v>SOFISA</v>
      </c>
      <c r="C105" s="41" t="str">
        <f>[2]Base!C105</f>
        <v>N1</v>
      </c>
      <c r="D105" s="19" t="s">
        <v>67</v>
      </c>
      <c r="E105" s="19" t="str">
        <f>[2]Base!M105</f>
        <v>UBS</v>
      </c>
      <c r="F105" s="19" t="str">
        <f>[2]Base!F105</f>
        <v>IPO</v>
      </c>
      <c r="G105" s="19" t="str">
        <f>[2]Base!G105</f>
        <v>ICVM 400</v>
      </c>
      <c r="H105" s="20">
        <f>[2]Base!X105</f>
        <v>39197</v>
      </c>
      <c r="I105" s="21">
        <f>[2]Base!W105</f>
        <v>12</v>
      </c>
      <c r="J105" s="22">
        <f>[2]Base!J105</f>
        <v>39204</v>
      </c>
      <c r="K105" s="23">
        <f>'[1]SITE (Imprensa)_PT'!K105</f>
        <v>7238</v>
      </c>
      <c r="L105" s="23">
        <f>[2]Base!DZ105</f>
        <v>7521</v>
      </c>
      <c r="M105" s="24">
        <f>[2]Base!AO105</f>
        <v>497336256</v>
      </c>
      <c r="N105" s="24">
        <f>[2]Base!AP105</f>
        <v>7207728</v>
      </c>
      <c r="O105" s="24">
        <f>[2]Base!AQ105</f>
        <v>504543984</v>
      </c>
      <c r="P105" s="24">
        <f>+[2]Base!ED105</f>
        <v>244924264.07766989</v>
      </c>
      <c r="Q105" s="157">
        <f>'[1]SITE (Imprensa)_PT'!P105</f>
        <v>8.7162256204802946E-2</v>
      </c>
      <c r="R105" s="157">
        <f>'[1]SITE (Imprensa)_PT'!Q105</f>
        <v>0.15108692684362679</v>
      </c>
      <c r="S105" s="157">
        <f>'[1]SITE (Imprensa)_PT'!R105</f>
        <v>0.7595713360046723</v>
      </c>
      <c r="T105" s="158">
        <f>'[1]SITE (Imprensa)_PT'!S105</f>
        <v>2.1794809468979816E-3</v>
      </c>
      <c r="U105" s="6"/>
    </row>
    <row r="106" spans="2:21" ht="13.2" x14ac:dyDescent="0.25">
      <c r="B106" s="40" t="str">
        <f>[2]Base!A106</f>
        <v>TARPON</v>
      </c>
      <c r="C106" s="41" t="str">
        <f>[2]Base!C106</f>
        <v>BDR</v>
      </c>
      <c r="D106" s="19" t="s">
        <v>100</v>
      </c>
      <c r="E106" s="19" t="str">
        <f>[2]Base!M106</f>
        <v>Credit Suisse</v>
      </c>
      <c r="F106" s="19" t="str">
        <f>[2]Base!F106</f>
        <v>IPO</v>
      </c>
      <c r="G106" s="19" t="str">
        <f>[2]Base!G106</f>
        <v>ICVM 400</v>
      </c>
      <c r="H106" s="20">
        <f>[2]Base!X106</f>
        <v>39231</v>
      </c>
      <c r="I106" s="21">
        <f>[2]Base!W106</f>
        <v>22</v>
      </c>
      <c r="J106" s="22">
        <f>[2]Base!J106</f>
        <v>39233</v>
      </c>
      <c r="K106" s="23">
        <f>'[1]SITE (Imprensa)_PT'!K106</f>
        <v>10631</v>
      </c>
      <c r="L106" s="23">
        <f>[2]Base!DZ106</f>
        <v>10949</v>
      </c>
      <c r="M106" s="24">
        <f>[2]Base!AO106</f>
        <v>443828000</v>
      </c>
      <c r="N106" s="24">
        <f>[2]Base!AP106</f>
        <v>0</v>
      </c>
      <c r="O106" s="24">
        <f>[2]Base!AQ106</f>
        <v>443828000</v>
      </c>
      <c r="P106" s="24">
        <f>+[2]Base!ED106</f>
        <v>229962694.30051816</v>
      </c>
      <c r="Q106" s="157">
        <f>'[1]SITE (Imprensa)_PT'!P106</f>
        <v>8.5689338892197736E-2</v>
      </c>
      <c r="R106" s="157">
        <f>'[1]SITE (Imprensa)_PT'!Q106</f>
        <v>3.1145634306134602E-2</v>
      </c>
      <c r="S106" s="157">
        <f>'[1]SITE (Imprensa)_PT'!R106</f>
        <v>0.86975580702799282</v>
      </c>
      <c r="T106" s="158">
        <f>'[1]SITE (Imprensa)_PT'!S106</f>
        <v>1.3409219773674807E-2</v>
      </c>
      <c r="U106" s="6"/>
    </row>
    <row r="107" spans="2:21" ht="13.2" x14ac:dyDescent="0.25">
      <c r="B107" s="40" t="str">
        <f>[2]Base!A107</f>
        <v>INPAR S/A</v>
      </c>
      <c r="C107" s="41" t="str">
        <f>[2]Base!C107</f>
        <v>NM</v>
      </c>
      <c r="D107" s="19" t="s">
        <v>77</v>
      </c>
      <c r="E107" s="19" t="str">
        <f>[2]Base!M107</f>
        <v>Credit Suisse</v>
      </c>
      <c r="F107" s="19" t="str">
        <f>[2]Base!F107</f>
        <v>IPO</v>
      </c>
      <c r="G107" s="19" t="str">
        <f>[2]Base!G107</f>
        <v>ICVM 400</v>
      </c>
      <c r="H107" s="20">
        <f>[2]Base!X107</f>
        <v>39237</v>
      </c>
      <c r="I107" s="21">
        <f>[2]Base!W107</f>
        <v>17.5</v>
      </c>
      <c r="J107" s="22">
        <f>[2]Base!J107</f>
        <v>39239</v>
      </c>
      <c r="K107" s="23">
        <f>'[1]SITE (Imprensa)_PT'!K107</f>
        <v>9532</v>
      </c>
      <c r="L107" s="23">
        <f>[2]Base!DZ107</f>
        <v>10114</v>
      </c>
      <c r="M107" s="24">
        <f>[2]Base!AO107</f>
        <v>756000000</v>
      </c>
      <c r="N107" s="24">
        <f>[2]Base!AP107</f>
        <v>0</v>
      </c>
      <c r="O107" s="24">
        <f>[2]Base!AQ107</f>
        <v>756000000</v>
      </c>
      <c r="P107" s="24">
        <f>+[2]Base!ED107</f>
        <v>385714285.71428573</v>
      </c>
      <c r="Q107" s="157">
        <f>'[1]SITE (Imprensa)_PT'!P107</f>
        <v>8.1324212962962966E-2</v>
      </c>
      <c r="R107" s="157">
        <f>'[1]SITE (Imprensa)_PT'!Q107</f>
        <v>0.22044250000000001</v>
      </c>
      <c r="S107" s="157">
        <f>'[1]SITE (Imprensa)_PT'!R107</f>
        <v>0.6958937268518518</v>
      </c>
      <c r="T107" s="158">
        <f>'[1]SITE (Imprensa)_PT'!S107</f>
        <v>2.339560185185185E-3</v>
      </c>
      <c r="U107" s="6"/>
    </row>
    <row r="108" spans="2:21" ht="13.2" x14ac:dyDescent="0.25">
      <c r="B108" s="40" t="str">
        <f>[2]Base!A108</f>
        <v>PARANA</v>
      </c>
      <c r="C108" s="41" t="str">
        <f>[2]Base!C108</f>
        <v>N1</v>
      </c>
      <c r="D108" s="19" t="s">
        <v>67</v>
      </c>
      <c r="E108" s="19" t="str">
        <f>[2]Base!M108</f>
        <v>UBS</v>
      </c>
      <c r="F108" s="19" t="str">
        <f>[2]Base!F108</f>
        <v>IPO</v>
      </c>
      <c r="G108" s="19" t="str">
        <f>[2]Base!G108</f>
        <v>ICVM 400</v>
      </c>
      <c r="H108" s="20">
        <f>[2]Base!X108</f>
        <v>39245</v>
      </c>
      <c r="I108" s="21">
        <f>[2]Base!W108</f>
        <v>14</v>
      </c>
      <c r="J108" s="22">
        <f>[2]Base!J108</f>
        <v>39247</v>
      </c>
      <c r="K108" s="23">
        <f>'[1]SITE (Imprensa)_PT'!K108</f>
        <v>8491</v>
      </c>
      <c r="L108" s="23">
        <f>[2]Base!DZ108</f>
        <v>8800</v>
      </c>
      <c r="M108" s="24">
        <f>[2]Base!AO108</f>
        <v>529200000</v>
      </c>
      <c r="N108" s="24">
        <f>[2]Base!AP108</f>
        <v>0</v>
      </c>
      <c r="O108" s="24">
        <f>[2]Base!AQ108</f>
        <v>529200000</v>
      </c>
      <c r="P108" s="24">
        <f>+[2]Base!ED108</f>
        <v>274196891.19170988</v>
      </c>
      <c r="Q108" s="157">
        <f>'[1]SITE (Imprensa)_PT'!P108</f>
        <v>0.11348703703703704</v>
      </c>
      <c r="R108" s="157">
        <f>'[1]SITE (Imprensa)_PT'!Q108</f>
        <v>0.10587037037037036</v>
      </c>
      <c r="S108" s="157">
        <f>'[1]SITE (Imprensa)_PT'!R108</f>
        <v>0.7785144444444444</v>
      </c>
      <c r="T108" s="158">
        <f>'[1]SITE (Imprensa)_PT'!S108</f>
        <v>2.1281481481481481E-3</v>
      </c>
      <c r="U108" s="6"/>
    </row>
    <row r="109" spans="2:21" ht="13.2" x14ac:dyDescent="0.25">
      <c r="B109" s="40" t="str">
        <f>[2]Base!A109</f>
        <v>SLC AGRICOLA</v>
      </c>
      <c r="C109" s="41" t="str">
        <f>[2]Base!C109</f>
        <v>NM</v>
      </c>
      <c r="D109" s="19" t="s">
        <v>101</v>
      </c>
      <c r="E109" s="19" t="str">
        <f>[2]Base!M109</f>
        <v>Credit Suisse</v>
      </c>
      <c r="F109" s="19" t="str">
        <f>[2]Base!F109</f>
        <v>IPO</v>
      </c>
      <c r="G109" s="19" t="str">
        <f>[2]Base!G109</f>
        <v>ICVM 400</v>
      </c>
      <c r="H109" s="20">
        <f>[2]Base!X109</f>
        <v>39246</v>
      </c>
      <c r="I109" s="21">
        <f>[2]Base!W109</f>
        <v>14</v>
      </c>
      <c r="J109" s="22">
        <f>[2]Base!J109</f>
        <v>39248</v>
      </c>
      <c r="K109" s="23">
        <f>'[1]SITE (Imprensa)_PT'!K109</f>
        <v>9623</v>
      </c>
      <c r="L109" s="23">
        <f>[2]Base!DZ109</f>
        <v>10166</v>
      </c>
      <c r="M109" s="24">
        <f>[2]Base!AO109</f>
        <v>308000000</v>
      </c>
      <c r="N109" s="24">
        <f>[2]Base!AP109</f>
        <v>182043750</v>
      </c>
      <c r="O109" s="24">
        <f>[2]Base!AQ109</f>
        <v>490043750</v>
      </c>
      <c r="P109" s="24">
        <f>+[2]Base!ED109</f>
        <v>256567408.37696335</v>
      </c>
      <c r="Q109" s="157">
        <f>'[1]SITE (Imprensa)_PT'!P109</f>
        <v>9.1886681546290511E-2</v>
      </c>
      <c r="R109" s="157">
        <f>'[1]SITE (Imprensa)_PT'!Q109</f>
        <v>0.2072382394429069</v>
      </c>
      <c r="S109" s="157">
        <f>'[1]SITE (Imprensa)_PT'!R109</f>
        <v>0.69781083831800728</v>
      </c>
      <c r="T109" s="158">
        <f>'[1]SITE (Imprensa)_PT'!S109</f>
        <v>3.0642406927952862E-3</v>
      </c>
      <c r="U109" s="6"/>
    </row>
    <row r="110" spans="2:21" ht="13.2" x14ac:dyDescent="0.25">
      <c r="B110" s="40" t="str">
        <f>[2]Base!A110</f>
        <v>LOG-IN</v>
      </c>
      <c r="C110" s="41" t="str">
        <f>[2]Base!C110</f>
        <v>NM</v>
      </c>
      <c r="D110" s="19" t="s">
        <v>102</v>
      </c>
      <c r="E110" s="19" t="str">
        <f>[2]Base!M110</f>
        <v>UBS</v>
      </c>
      <c r="F110" s="19" t="str">
        <f>[2]Base!F110</f>
        <v>IPO</v>
      </c>
      <c r="G110" s="19" t="str">
        <f>[2]Base!G110</f>
        <v>ICVM 400</v>
      </c>
      <c r="H110" s="20">
        <f>[2]Base!X110</f>
        <v>39251</v>
      </c>
      <c r="I110" s="21">
        <f>[2]Base!W110</f>
        <v>14.25</v>
      </c>
      <c r="J110" s="22">
        <f>[2]Base!J110</f>
        <v>39254</v>
      </c>
      <c r="K110" s="23">
        <f>'[1]SITE (Imprensa)_PT'!K110</f>
        <v>26509</v>
      </c>
      <c r="L110" s="23">
        <f>[2]Base!DZ110</f>
        <v>28172</v>
      </c>
      <c r="M110" s="24">
        <f>[2]Base!AO110</f>
        <v>443333317.5</v>
      </c>
      <c r="N110" s="24">
        <f>[2]Base!AP110</f>
        <v>404913336.75</v>
      </c>
      <c r="O110" s="24">
        <f>[2]Base!AQ110</f>
        <v>848246654.25</v>
      </c>
      <c r="P110" s="24">
        <f>+[2]Base!ED110</f>
        <v>441795132.421875</v>
      </c>
      <c r="Q110" s="157">
        <f>'[1]SITE (Imprensa)_PT'!P110</f>
        <v>8.6723968943965918E-2</v>
      </c>
      <c r="R110" s="157">
        <f>'[1]SITE (Imprensa)_PT'!Q110</f>
        <v>0.16357265313669819</v>
      </c>
      <c r="S110" s="157">
        <f>'[1]SITE (Imprensa)_PT'!R110</f>
        <v>0.74697106298665961</v>
      </c>
      <c r="T110" s="158">
        <f>'[1]SITE (Imprensa)_PT'!S110</f>
        <v>2.7323149326763173E-3</v>
      </c>
      <c r="U110" s="6"/>
    </row>
    <row r="111" spans="2:21" ht="13.2" x14ac:dyDescent="0.25">
      <c r="B111" s="40" t="str">
        <f>[2]Base!A111</f>
        <v>EZTEC</v>
      </c>
      <c r="C111" s="41" t="str">
        <f>[2]Base!C111</f>
        <v>NM</v>
      </c>
      <c r="D111" s="19" t="s">
        <v>77</v>
      </c>
      <c r="E111" s="19" t="str">
        <f>[2]Base!M111</f>
        <v>UBS</v>
      </c>
      <c r="F111" s="19" t="str">
        <f>[2]Base!F111</f>
        <v>IPO</v>
      </c>
      <c r="G111" s="19" t="str">
        <f>[2]Base!G111</f>
        <v>ICVM 400</v>
      </c>
      <c r="H111" s="20">
        <f>[2]Base!X111</f>
        <v>39252</v>
      </c>
      <c r="I111" s="21">
        <f>[2]Base!W111</f>
        <v>11</v>
      </c>
      <c r="J111" s="22">
        <f>[2]Base!J111</f>
        <v>39255</v>
      </c>
      <c r="K111" s="23">
        <f>'[1]SITE (Imprensa)_PT'!K111</f>
        <v>5507</v>
      </c>
      <c r="L111" s="23">
        <f>[2]Base!DZ111</f>
        <v>5802</v>
      </c>
      <c r="M111" s="24">
        <f>[2]Base!AO111</f>
        <v>542145813</v>
      </c>
      <c r="N111" s="24">
        <f>[2]Base!AP111</f>
        <v>0</v>
      </c>
      <c r="O111" s="24">
        <f>[2]Base!AQ111</f>
        <v>542145813</v>
      </c>
      <c r="P111" s="24">
        <f>+[2]Base!ED111</f>
        <v>280904566.32124352</v>
      </c>
      <c r="Q111" s="157">
        <f>'[1]SITE (Imprensa)_PT'!P111</f>
        <v>8.4224108911452572E-2</v>
      </c>
      <c r="R111" s="157">
        <f>'[1]SITE (Imprensa)_PT'!Q111</f>
        <v>0.22720709456073951</v>
      </c>
      <c r="S111" s="157">
        <f>'[1]SITE (Imprensa)_PT'!R111</f>
        <v>0.68114236455423849</v>
      </c>
      <c r="T111" s="158">
        <f>'[1]SITE (Imprensa)_PT'!S111</f>
        <v>7.4264319735694428E-3</v>
      </c>
      <c r="U111" s="6"/>
    </row>
    <row r="112" spans="2:21" ht="13.2" x14ac:dyDescent="0.25">
      <c r="B112" s="40" t="str">
        <f>[2]Base!A112</f>
        <v>CRUZEIRO SUL</v>
      </c>
      <c r="C112" s="41" t="str">
        <f>[2]Base!C112</f>
        <v>N1</v>
      </c>
      <c r="D112" s="19" t="s">
        <v>67</v>
      </c>
      <c r="E112" s="19" t="str">
        <f>[2]Base!M112</f>
        <v>UBS</v>
      </c>
      <c r="F112" s="19" t="str">
        <f>[2]Base!F112</f>
        <v>IPO</v>
      </c>
      <c r="G112" s="19" t="str">
        <f>[2]Base!G112</f>
        <v>ICVM 400</v>
      </c>
      <c r="H112" s="20">
        <f>[2]Base!X112</f>
        <v>39254</v>
      </c>
      <c r="I112" s="21">
        <f>[2]Base!W112</f>
        <v>15.5</v>
      </c>
      <c r="J112" s="22">
        <f>[2]Base!J112</f>
        <v>39259</v>
      </c>
      <c r="K112" s="23">
        <f>'[1]SITE (Imprensa)_PT'!K112</f>
        <v>4188</v>
      </c>
      <c r="L112" s="23">
        <f>[2]Base!DZ112</f>
        <v>4442</v>
      </c>
      <c r="M112" s="24">
        <f>[2]Base!AO112</f>
        <v>439695785</v>
      </c>
      <c r="N112" s="24">
        <f>[2]Base!AP112</f>
        <v>133820459</v>
      </c>
      <c r="O112" s="24">
        <f>[2]Base!AQ112</f>
        <v>573516244</v>
      </c>
      <c r="P112" s="24">
        <f>+[2]Base!ED112</f>
        <v>294110894.35897434</v>
      </c>
      <c r="Q112" s="157">
        <f>'[1]SITE (Imprensa)_PT'!P112</f>
        <v>8.3260549010821361E-2</v>
      </c>
      <c r="R112" s="157">
        <f>'[1]SITE (Imprensa)_PT'!Q112</f>
        <v>1.0036897922068948E-2</v>
      </c>
      <c r="S112" s="157">
        <f>'[1]SITE (Imprensa)_PT'!R112</f>
        <v>0.59205433882625191</v>
      </c>
      <c r="T112" s="158">
        <f>'[1]SITE (Imprensa)_PT'!S112</f>
        <v>0.31464821424085782</v>
      </c>
      <c r="U112" s="6"/>
    </row>
    <row r="113" spans="2:21" ht="13.2" x14ac:dyDescent="0.25">
      <c r="B113" s="40" t="str">
        <f>[2]Base!A113</f>
        <v>DAYCOVAL</v>
      </c>
      <c r="C113" s="41" t="str">
        <f>[2]Base!C113</f>
        <v>N1</v>
      </c>
      <c r="D113" s="19" t="s">
        <v>67</v>
      </c>
      <c r="E113" s="19" t="str">
        <f>[2]Base!M113</f>
        <v>UBS</v>
      </c>
      <c r="F113" s="19" t="str">
        <f>[2]Base!F113</f>
        <v>IPO</v>
      </c>
      <c r="G113" s="19" t="str">
        <f>[2]Base!G113</f>
        <v>ICVM 400</v>
      </c>
      <c r="H113" s="20">
        <f>[2]Base!X113</f>
        <v>39259</v>
      </c>
      <c r="I113" s="21">
        <f>[2]Base!W113</f>
        <v>17</v>
      </c>
      <c r="J113" s="22">
        <f>[2]Base!J113</f>
        <v>39262</v>
      </c>
      <c r="K113" s="23">
        <f>'[1]SITE (Imprensa)_PT'!K113</f>
        <v>7518</v>
      </c>
      <c r="L113" s="23">
        <f>[2]Base!DZ113</f>
        <v>8014</v>
      </c>
      <c r="M113" s="24">
        <f>[2]Base!AO113</f>
        <v>936406104</v>
      </c>
      <c r="N113" s="24">
        <f>[2]Base!AP113</f>
        <v>156067684</v>
      </c>
      <c r="O113" s="24">
        <f>[2]Base!AQ113</f>
        <v>1092473788</v>
      </c>
      <c r="P113" s="24">
        <f>+[2]Base!ED113</f>
        <v>566048594.81865287</v>
      </c>
      <c r="Q113" s="157">
        <f>'[1]SITE (Imprensa)_PT'!P113</f>
        <v>8.8968386306033737E-2</v>
      </c>
      <c r="R113" s="157">
        <f>'[1]SITE (Imprensa)_PT'!Q113</f>
        <v>0.19154168941946276</v>
      </c>
      <c r="S113" s="157">
        <f>'[1]SITE (Imprensa)_PT'!R113</f>
        <v>0.69751996649277959</v>
      </c>
      <c r="T113" s="158">
        <f>'[1]SITE (Imprensa)_PT'!S113</f>
        <v>2.1969957781723913E-2</v>
      </c>
      <c r="U113" s="6"/>
    </row>
    <row r="114" spans="2:21" ht="13.2" x14ac:dyDescent="0.25">
      <c r="B114" s="40" t="str">
        <f>[2]Base!A114</f>
        <v>MARFRIG</v>
      </c>
      <c r="C114" s="41" t="str">
        <f>[2]Base!C114</f>
        <v>NM</v>
      </c>
      <c r="D114" s="19" t="s">
        <v>86</v>
      </c>
      <c r="E114" s="19" t="str">
        <f>[2]Base!M114</f>
        <v>Merrill Lynch</v>
      </c>
      <c r="F114" s="19" t="str">
        <f>[2]Base!F114</f>
        <v>IPO</v>
      </c>
      <c r="G114" s="19" t="str">
        <f>[2]Base!G114</f>
        <v>ICVM 400</v>
      </c>
      <c r="H114" s="20">
        <f>[2]Base!X114</f>
        <v>39259</v>
      </c>
      <c r="I114" s="21">
        <f>[2]Base!W114</f>
        <v>17</v>
      </c>
      <c r="J114" s="22">
        <f>[2]Base!J114</f>
        <v>39262</v>
      </c>
      <c r="K114" s="23">
        <f>'[1]SITE (Imprensa)_PT'!K114</f>
        <v>4899</v>
      </c>
      <c r="L114" s="23">
        <f>[2]Base!DZ114</f>
        <v>5527</v>
      </c>
      <c r="M114" s="24">
        <f>[2]Base!AO114</f>
        <v>654065548</v>
      </c>
      <c r="N114" s="24">
        <f>[2]Base!AP114</f>
        <v>366444452</v>
      </c>
      <c r="O114" s="24">
        <f>[2]Base!AQ114</f>
        <v>1020510000</v>
      </c>
      <c r="P114" s="24">
        <f>+[2]Base!ED114</f>
        <v>528761658.03108811</v>
      </c>
      <c r="Q114" s="157">
        <f>'[1]SITE (Imprensa)_PT'!P114</f>
        <v>4.729032150591371E-2</v>
      </c>
      <c r="R114" s="157">
        <f>'[1]SITE (Imprensa)_PT'!Q114</f>
        <v>0.26923170081625852</v>
      </c>
      <c r="S114" s="157">
        <f>'[1]SITE (Imprensa)_PT'!R114</f>
        <v>0.67865817091454272</v>
      </c>
      <c r="T114" s="158">
        <f>'[1]SITE (Imprensa)_PT'!S114</f>
        <v>4.819806763285024E-3</v>
      </c>
      <c r="U114" s="6"/>
    </row>
    <row r="115" spans="2:21" ht="13.2" x14ac:dyDescent="0.25">
      <c r="B115" s="40" t="str">
        <f>[2]Base!A115</f>
        <v>TEGMA</v>
      </c>
      <c r="C115" s="41" t="str">
        <f>[2]Base!C115</f>
        <v>NM</v>
      </c>
      <c r="D115" s="19" t="s">
        <v>103</v>
      </c>
      <c r="E115" s="19" t="str">
        <f>[2]Base!M115</f>
        <v>JP Morgan</v>
      </c>
      <c r="F115" s="19" t="str">
        <f>[2]Base!F115</f>
        <v>IPO</v>
      </c>
      <c r="G115" s="19" t="str">
        <f>[2]Base!G115</f>
        <v>ICVM 400</v>
      </c>
      <c r="H115" s="20">
        <f>[2]Base!X115</f>
        <v>39261</v>
      </c>
      <c r="I115" s="21">
        <f>[2]Base!W115</f>
        <v>26</v>
      </c>
      <c r="J115" s="22">
        <f>[2]Base!J115</f>
        <v>39266</v>
      </c>
      <c r="K115" s="23">
        <f>'[1]SITE (Imprensa)_PT'!K115</f>
        <v>6714</v>
      </c>
      <c r="L115" s="23">
        <f>[2]Base!DZ115</f>
        <v>7147</v>
      </c>
      <c r="M115" s="24">
        <f>[2]Base!AO115</f>
        <v>290228506.10000002</v>
      </c>
      <c r="N115" s="24">
        <f>[2]Base!AP115</f>
        <v>313751493.89999998</v>
      </c>
      <c r="O115" s="24">
        <f>[2]Base!AQ115</f>
        <v>603980000</v>
      </c>
      <c r="P115" s="24">
        <f>+[2]Base!ED115</f>
        <v>316219895.28795815</v>
      </c>
      <c r="Q115" s="157">
        <f>'[1]SITE (Imprensa)_PT'!P115</f>
        <v>8.8064743865690923E-2</v>
      </c>
      <c r="R115" s="157">
        <f>'[1]SITE (Imprensa)_PT'!Q115</f>
        <v>0.31941304347826088</v>
      </c>
      <c r="S115" s="157">
        <f>'[1]SITE (Imprensa)_PT'!R115</f>
        <v>0.59044782608695656</v>
      </c>
      <c r="T115" s="158">
        <f>'[1]SITE (Imprensa)_PT'!S115</f>
        <v>2.0743865690916919E-3</v>
      </c>
      <c r="U115" s="6"/>
    </row>
    <row r="116" spans="2:21" ht="13.2" x14ac:dyDescent="0.25">
      <c r="B116" s="40" t="str">
        <f>[2]Base!A116</f>
        <v>DROGASIL</v>
      </c>
      <c r="C116" s="41" t="str">
        <f>[2]Base!C116</f>
        <v>NM</v>
      </c>
      <c r="D116" s="19" t="s">
        <v>63</v>
      </c>
      <c r="E116" s="19" t="str">
        <f>[2]Base!M116</f>
        <v>UBS</v>
      </c>
      <c r="F116" s="19" t="str">
        <f>[2]Base!F116</f>
        <v>FOLLOW-ON</v>
      </c>
      <c r="G116" s="19" t="str">
        <f>[2]Base!G116</f>
        <v>ICVM 400</v>
      </c>
      <c r="H116" s="20">
        <f>[2]Base!X116</f>
        <v>39261</v>
      </c>
      <c r="I116" s="21">
        <f>[2]Base!W116</f>
        <v>15</v>
      </c>
      <c r="J116" s="22">
        <f>[2]Base!J116</f>
        <v>39266</v>
      </c>
      <c r="K116" s="23">
        <f>'[1]SITE (Imprensa)_PT'!K116</f>
        <v>7204</v>
      </c>
      <c r="L116" s="23">
        <f>[2]Base!DZ116</f>
        <v>7676</v>
      </c>
      <c r="M116" s="24">
        <f>[2]Base!AO116</f>
        <v>235400100</v>
      </c>
      <c r="N116" s="24">
        <f>[2]Base!AP116</f>
        <v>157290300</v>
      </c>
      <c r="O116" s="24">
        <f>[2]Base!AQ116</f>
        <v>392690400</v>
      </c>
      <c r="P116" s="24">
        <f>+[2]Base!ED116</f>
        <v>205597068.06282723</v>
      </c>
      <c r="Q116" s="157">
        <f>'[1]SITE (Imprensa)_PT'!P116</f>
        <v>9.9862754475281285E-2</v>
      </c>
      <c r="R116" s="157">
        <f>'[1]SITE (Imprensa)_PT'!Q116</f>
        <v>0.22867743902066362</v>
      </c>
      <c r="S116" s="157">
        <f>'[1]SITE (Imprensa)_PT'!R116</f>
        <v>0.66993242004388187</v>
      </c>
      <c r="T116" s="158">
        <f>'[1]SITE (Imprensa)_PT'!S116</f>
        <v>1.5273864601732052E-3</v>
      </c>
      <c r="U116" s="6"/>
    </row>
    <row r="117" spans="2:21" ht="13.2" x14ac:dyDescent="0.25">
      <c r="B117" s="40" t="str">
        <f>[2]Base!A117</f>
        <v>INDUSVAL</v>
      </c>
      <c r="C117" s="41" t="str">
        <f>[2]Base!C117</f>
        <v>N2</v>
      </c>
      <c r="D117" s="19" t="s">
        <v>67</v>
      </c>
      <c r="E117" s="19" t="str">
        <f>[2]Base!M117</f>
        <v>Credit Suisse</v>
      </c>
      <c r="F117" s="19" t="str">
        <f>[2]Base!F117</f>
        <v>IPO</v>
      </c>
      <c r="G117" s="19" t="str">
        <f>[2]Base!G117</f>
        <v>ICVM 400</v>
      </c>
      <c r="H117" s="20">
        <f>[2]Base!X117</f>
        <v>39273</v>
      </c>
      <c r="I117" s="21">
        <f>[2]Base!W117</f>
        <v>17.5</v>
      </c>
      <c r="J117" s="22">
        <f>[2]Base!J117</f>
        <v>39275</v>
      </c>
      <c r="K117" s="23">
        <f>'[1]SITE (Imprensa)_PT'!K117</f>
        <v>283</v>
      </c>
      <c r="L117" s="23">
        <f>[2]Base!DZ117</f>
        <v>348</v>
      </c>
      <c r="M117" s="24">
        <f>[2]Base!AO117</f>
        <v>227500017.5</v>
      </c>
      <c r="N117" s="24">
        <f>[2]Base!AP117</f>
        <v>25060752.5</v>
      </c>
      <c r="O117" s="24">
        <f>[2]Base!AQ117</f>
        <v>252560770</v>
      </c>
      <c r="P117" s="24">
        <f>+[2]Base!ED117</f>
        <v>134340835.106383</v>
      </c>
      <c r="Q117" s="157">
        <f>'[1]SITE (Imprensa)_PT'!P117</f>
        <v>7.6261224902982705E-2</v>
      </c>
      <c r="R117" s="157">
        <f>'[1]SITE (Imprensa)_PT'!Q117</f>
        <v>4.045622765721326E-2</v>
      </c>
      <c r="S117" s="157">
        <f>'[1]SITE (Imprensa)_PT'!R117</f>
        <v>0.87974539386573891</v>
      </c>
      <c r="T117" s="158">
        <f>'[1]SITE (Imprensa)_PT'!S117</f>
        <v>3.5371535740651096E-3</v>
      </c>
      <c r="U117" s="6"/>
    </row>
    <row r="118" spans="2:21" ht="13.2" x14ac:dyDescent="0.25">
      <c r="B118" s="40" t="str">
        <f>[2]Base!A118</f>
        <v>REDECARD</v>
      </c>
      <c r="C118" s="41" t="str">
        <f>[2]Base!C118</f>
        <v>NM</v>
      </c>
      <c r="D118" s="19" t="s">
        <v>104</v>
      </c>
      <c r="E118" s="19" t="str">
        <f>[2]Base!M118</f>
        <v>Unibanco</v>
      </c>
      <c r="F118" s="19" t="str">
        <f>[2]Base!F118</f>
        <v>IPO</v>
      </c>
      <c r="G118" s="19" t="str">
        <f>[2]Base!G118</f>
        <v>ICVM 400</v>
      </c>
      <c r="H118" s="20">
        <f>[2]Base!X118</f>
        <v>39274</v>
      </c>
      <c r="I118" s="21">
        <f>[2]Base!W118</f>
        <v>27</v>
      </c>
      <c r="J118" s="22">
        <f>[2]Base!J118</f>
        <v>39276</v>
      </c>
      <c r="K118" s="23">
        <f>'[1]SITE (Imprensa)_PT'!K118</f>
        <v>29315</v>
      </c>
      <c r="L118" s="23">
        <f>[2]Base!DZ118</f>
        <v>31297</v>
      </c>
      <c r="M118" s="24">
        <f>[2]Base!AO118</f>
        <v>419999985</v>
      </c>
      <c r="N118" s="24">
        <f>[2]Base!AP118</f>
        <v>4222694700</v>
      </c>
      <c r="O118" s="24">
        <f>[2]Base!AQ118</f>
        <v>4642694685</v>
      </c>
      <c r="P118" s="24">
        <f>+[2]Base!ED118</f>
        <v>2482724430.4812832</v>
      </c>
      <c r="Q118" s="157">
        <f>'[1]SITE (Imprensa)_PT'!P118</f>
        <v>8.895317698454254E-2</v>
      </c>
      <c r="R118" s="157">
        <f>'[1]SITE (Imprensa)_PT'!Q118</f>
        <v>0.19214644371989326</v>
      </c>
      <c r="S118" s="157">
        <f>'[1]SITE (Imprensa)_PT'!R118</f>
        <v>0.71547075833611484</v>
      </c>
      <c r="T118" s="158">
        <f>'[1]SITE (Imprensa)_PT'!S118</f>
        <v>3.429620959449329E-3</v>
      </c>
      <c r="U118" s="6"/>
    </row>
    <row r="119" spans="2:21" ht="13.2" x14ac:dyDescent="0.25">
      <c r="B119" s="40" t="str">
        <f>[2]Base!A119</f>
        <v>INVEST TUR</v>
      </c>
      <c r="C119" s="41" t="str">
        <f>[2]Base!C119</f>
        <v>NM</v>
      </c>
      <c r="D119" s="19" t="s">
        <v>82</v>
      </c>
      <c r="E119" s="19" t="str">
        <f>[2]Base!M119</f>
        <v>Credit Suisse</v>
      </c>
      <c r="F119" s="19" t="str">
        <f>[2]Base!F119</f>
        <v>IPO</v>
      </c>
      <c r="G119" s="19" t="str">
        <f>[2]Base!G119</f>
        <v>ICVM 400</v>
      </c>
      <c r="H119" s="20">
        <f>[2]Base!X119</f>
        <v>39275</v>
      </c>
      <c r="I119" s="21">
        <f>[2]Base!W119</f>
        <v>1000</v>
      </c>
      <c r="J119" s="22">
        <f>[2]Base!J119</f>
        <v>39279</v>
      </c>
      <c r="K119" s="23">
        <f>'[1]SITE (Imprensa)_PT'!K119</f>
        <v>16</v>
      </c>
      <c r="L119" s="23">
        <f>[2]Base!DZ119</f>
        <v>114</v>
      </c>
      <c r="M119" s="24">
        <f>[2]Base!AO119</f>
        <v>945000000</v>
      </c>
      <c r="N119" s="24">
        <f>[2]Base!AP119</f>
        <v>0</v>
      </c>
      <c r="O119" s="24">
        <f>[2]Base!AQ119</f>
        <v>945000000</v>
      </c>
      <c r="P119" s="24">
        <f>+[2]Base!ED119</f>
        <v>508064516.12903225</v>
      </c>
      <c r="Q119" s="157">
        <f>'[1]SITE (Imprensa)_PT'!P119</f>
        <v>9.1005291005291002E-3</v>
      </c>
      <c r="R119" s="157">
        <f>'[1]SITE (Imprensa)_PT'!Q119</f>
        <v>5.9894179894179896E-2</v>
      </c>
      <c r="S119" s="157">
        <f>'[1]SITE (Imprensa)_PT'!R119</f>
        <v>0.8720634920634921</v>
      </c>
      <c r="T119" s="158">
        <f>'[1]SITE (Imprensa)_PT'!S119</f>
        <v>5.8941798941798941E-2</v>
      </c>
      <c r="U119" s="6"/>
    </row>
    <row r="120" spans="2:21" ht="13.2" x14ac:dyDescent="0.25">
      <c r="B120" s="40" t="str">
        <f>[2]Base!A120</f>
        <v>MINERVA</v>
      </c>
      <c r="C120" s="41" t="str">
        <f>[2]Base!C120</f>
        <v>NM</v>
      </c>
      <c r="D120" s="19" t="s">
        <v>86</v>
      </c>
      <c r="E120" s="19" t="str">
        <f>[2]Base!M120</f>
        <v>Credit Suisse</v>
      </c>
      <c r="F120" s="19" t="str">
        <f>[2]Base!F120</f>
        <v>IPO</v>
      </c>
      <c r="G120" s="19" t="str">
        <f>[2]Base!G120</f>
        <v>ICVM 400</v>
      </c>
      <c r="H120" s="20">
        <f>[2]Base!X120</f>
        <v>39281</v>
      </c>
      <c r="I120" s="21">
        <f>[2]Base!W120</f>
        <v>18.5</v>
      </c>
      <c r="J120" s="22">
        <f>[2]Base!J120</f>
        <v>39283</v>
      </c>
      <c r="K120" s="23">
        <f>'[1]SITE (Imprensa)_PT'!K120</f>
        <v>11539</v>
      </c>
      <c r="L120" s="23">
        <f>[2]Base!DZ120</f>
        <v>12115</v>
      </c>
      <c r="M120" s="24">
        <f>[2]Base!AO120</f>
        <v>370000000</v>
      </c>
      <c r="N120" s="24">
        <f>[2]Base!AP120</f>
        <v>74000000</v>
      </c>
      <c r="O120" s="24">
        <f>[2]Base!AQ120</f>
        <v>444000000</v>
      </c>
      <c r="P120" s="24">
        <f>+[2]Base!ED120</f>
        <v>238709677.41935483</v>
      </c>
      <c r="Q120" s="157">
        <f>'[1]SITE (Imprensa)_PT'!P120</f>
        <v>0.10461865942028986</v>
      </c>
      <c r="R120" s="157">
        <f>'[1]SITE (Imprensa)_PT'!Q120</f>
        <v>0.27791492753623187</v>
      </c>
      <c r="S120" s="157">
        <f>'[1]SITE (Imprensa)_PT'!R120</f>
        <v>0.6155805797101449</v>
      </c>
      <c r="T120" s="158">
        <f>'[1]SITE (Imprensa)_PT'!S120</f>
        <v>1.8858333333333333E-3</v>
      </c>
      <c r="U120" s="6"/>
    </row>
    <row r="121" spans="2:21" ht="13.2" x14ac:dyDescent="0.25">
      <c r="B121" s="40" t="str">
        <f>[2]Base!A121</f>
        <v>PATAGONIA ¹</v>
      </c>
      <c r="C121" s="41" t="str">
        <f>[2]Base!C121</f>
        <v>BDR</v>
      </c>
      <c r="D121" s="19" t="s">
        <v>67</v>
      </c>
      <c r="E121" s="19" t="str">
        <f>[2]Base!M121</f>
        <v>JP Morgan</v>
      </c>
      <c r="F121" s="19" t="str">
        <f>[2]Base!F121</f>
        <v>IPO</v>
      </c>
      <c r="G121" s="19" t="str">
        <f>[2]Base!G121</f>
        <v>ICVM 400</v>
      </c>
      <c r="H121" s="20">
        <f>[2]Base!X121</f>
        <v>39281</v>
      </c>
      <c r="I121" s="21">
        <f>[2]Base!W121</f>
        <v>48.38</v>
      </c>
      <c r="J121" s="22">
        <f>[2]Base!J121</f>
        <v>39283</v>
      </c>
      <c r="K121" s="23">
        <f>'[1]SITE (Imprensa)_PT'!K121</f>
        <v>2830</v>
      </c>
      <c r="L121" s="23">
        <f>[2]Base!DZ121</f>
        <v>2917</v>
      </c>
      <c r="M121" s="24">
        <f>[2]Base!AO121</f>
        <v>7619850</v>
      </c>
      <c r="N121" s="24">
        <f>[2]Base!AP121</f>
        <v>68336750</v>
      </c>
      <c r="O121" s="24">
        <f>[2]Base!AQ121</f>
        <v>75956600</v>
      </c>
      <c r="P121" s="24">
        <f>+[2]Base!ED121</f>
        <v>40836881.720430106</v>
      </c>
      <c r="Q121" s="157">
        <f>'[1]SITE (Imprensa)_PT'!P121</f>
        <v>6.1869565217391306E-3</v>
      </c>
      <c r="R121" s="157">
        <f>'[1]SITE (Imprensa)_PT'!Q121</f>
        <v>2.0525478260869565E-2</v>
      </c>
      <c r="S121" s="157">
        <f>'[1]SITE (Imprensa)_PT'!R121</f>
        <v>0.97320278260869564</v>
      </c>
      <c r="T121" s="158">
        <f>'[1]SITE (Imprensa)_PT'!S121</f>
        <v>8.478260869565218E-5</v>
      </c>
      <c r="U121" s="6"/>
    </row>
    <row r="122" spans="2:21" ht="13.2" x14ac:dyDescent="0.25">
      <c r="B122" s="40" t="str">
        <f>[2]Base!A122</f>
        <v>CIA HERING</v>
      </c>
      <c r="C122" s="41" t="str">
        <f>[2]Base!C122</f>
        <v>NM</v>
      </c>
      <c r="D122" s="19" t="s">
        <v>105</v>
      </c>
      <c r="E122" s="19" t="str">
        <f>[2]Base!M122</f>
        <v>Itaú BBA</v>
      </c>
      <c r="F122" s="19" t="str">
        <f>[2]Base!F122</f>
        <v>FOLLOW-ON</v>
      </c>
      <c r="G122" s="19" t="str">
        <f>[2]Base!G122</f>
        <v>ICVM 400</v>
      </c>
      <c r="H122" s="20">
        <f>[2]Base!X122</f>
        <v>39282</v>
      </c>
      <c r="I122" s="21">
        <f>[2]Base!W122</f>
        <v>11</v>
      </c>
      <c r="J122" s="22">
        <f>[2]Base!J122</f>
        <v>39286</v>
      </c>
      <c r="K122" s="23">
        <f>'[1]SITE (Imprensa)_PT'!K122</f>
        <v>9089</v>
      </c>
      <c r="L122" s="23">
        <f>[2]Base!DZ122</f>
        <v>9404</v>
      </c>
      <c r="M122" s="24">
        <f>[2]Base!AO122</f>
        <v>229163000</v>
      </c>
      <c r="N122" s="24">
        <f>[2]Base!AP122</f>
        <v>82500000</v>
      </c>
      <c r="O122" s="24">
        <f>[2]Base!AQ122</f>
        <v>311663000</v>
      </c>
      <c r="P122" s="24">
        <f>+[2]Base!ED122</f>
        <v>168977987.42138365</v>
      </c>
      <c r="Q122" s="157">
        <f>'[1]SITE (Imprensa)_PT'!P122</f>
        <v>8.3772279673878514E-2</v>
      </c>
      <c r="R122" s="157">
        <f>'[1]SITE (Imprensa)_PT'!Q122</f>
        <v>0.28175932504576778</v>
      </c>
      <c r="S122" s="157">
        <f>'[1]SITE (Imprensa)_PT'!R122</f>
        <v>0.63107539372585975</v>
      </c>
      <c r="T122" s="158">
        <f>'[1]SITE (Imprensa)_PT'!S122</f>
        <v>3.3930015544939916E-3</v>
      </c>
      <c r="U122" s="6"/>
    </row>
    <row r="123" spans="2:21" ht="13.2" x14ac:dyDescent="0.25">
      <c r="B123" s="40" t="str">
        <f>[2]Base!A123</f>
        <v>MRV</v>
      </c>
      <c r="C123" s="41" t="str">
        <f>[2]Base!C123</f>
        <v>NM</v>
      </c>
      <c r="D123" s="19" t="s">
        <v>77</v>
      </c>
      <c r="E123" s="19" t="str">
        <f>[2]Base!M123</f>
        <v>UBS</v>
      </c>
      <c r="F123" s="19" t="str">
        <f>[2]Base!F123</f>
        <v>IPO</v>
      </c>
      <c r="G123" s="19" t="str">
        <f>[2]Base!G123</f>
        <v>ICVM 400</v>
      </c>
      <c r="H123" s="20">
        <f>[2]Base!X123</f>
        <v>39282</v>
      </c>
      <c r="I123" s="21">
        <f>[2]Base!W123</f>
        <v>26</v>
      </c>
      <c r="J123" s="22">
        <f>[2]Base!J123</f>
        <v>39286</v>
      </c>
      <c r="K123" s="23">
        <f>'[1]SITE (Imprensa)_PT'!K123</f>
        <v>15461</v>
      </c>
      <c r="L123" s="23">
        <f>[2]Base!DZ123</f>
        <v>16745</v>
      </c>
      <c r="M123" s="24">
        <f>[2]Base!AO123</f>
        <v>1071155202</v>
      </c>
      <c r="N123" s="24">
        <f>[2]Base!AP123</f>
        <v>122244798</v>
      </c>
      <c r="O123" s="24">
        <f>[2]Base!AQ123</f>
        <v>1193400000</v>
      </c>
      <c r="P123" s="24">
        <f>+[2]Base!ED123</f>
        <v>647039687.70331812</v>
      </c>
      <c r="Q123" s="157">
        <f>'[1]SITE (Imprensa)_PT'!P123</f>
        <v>7.6903420479302834E-2</v>
      </c>
      <c r="R123" s="157">
        <f>'[1]SITE (Imprensa)_PT'!Q123</f>
        <v>0.18763581699346404</v>
      </c>
      <c r="S123" s="157">
        <f>'[1]SITE (Imprensa)_PT'!R123</f>
        <v>0.7331963616557734</v>
      </c>
      <c r="T123" s="158">
        <f>'[1]SITE (Imprensa)_PT'!S123</f>
        <v>2.264400871459695E-3</v>
      </c>
      <c r="U123" s="6"/>
    </row>
    <row r="124" spans="2:21" ht="13.2" x14ac:dyDescent="0.25">
      <c r="B124" s="40" t="str">
        <f>[2]Base!A124</f>
        <v>KROTON</v>
      </c>
      <c r="C124" s="41" t="str">
        <f>[2]Base!C124</f>
        <v>N2</v>
      </c>
      <c r="D124" s="19" t="s">
        <v>93</v>
      </c>
      <c r="E124" s="19" t="str">
        <f>[2]Base!M124</f>
        <v>Morgan Stanley</v>
      </c>
      <c r="F124" s="19" t="str">
        <f>[2]Base!F124</f>
        <v>IPO</v>
      </c>
      <c r="G124" s="19" t="str">
        <f>[2]Base!G124</f>
        <v>ICVM 400</v>
      </c>
      <c r="H124" s="20">
        <f>[2]Base!X124</f>
        <v>39282</v>
      </c>
      <c r="I124" s="21">
        <f>[2]Base!W124</f>
        <v>39</v>
      </c>
      <c r="J124" s="22">
        <f>[2]Base!J124</f>
        <v>39286</v>
      </c>
      <c r="K124" s="23">
        <f>'[1]SITE (Imprensa)_PT'!K124</f>
        <v>11158</v>
      </c>
      <c r="L124" s="23">
        <f>[2]Base!DZ124</f>
        <v>12081</v>
      </c>
      <c r="M124" s="24">
        <f>[2]Base!AO124</f>
        <v>395695287</v>
      </c>
      <c r="N124" s="24">
        <f>[2]Base!AP124</f>
        <v>83078463</v>
      </c>
      <c r="O124" s="24">
        <f>[2]Base!AQ124</f>
        <v>478773750</v>
      </c>
      <c r="P124" s="24">
        <f>+[2]Base!ED124</f>
        <v>259582384.51528952</v>
      </c>
      <c r="Q124" s="157">
        <f>'[1]SITE (Imprensa)_PT'!P124</f>
        <v>9.2084634965889423E-2</v>
      </c>
      <c r="R124" s="157">
        <f>'[1]SITE (Imprensa)_PT'!Q124</f>
        <v>0.20221606761022298</v>
      </c>
      <c r="S124" s="157">
        <f>'[1]SITE (Imprensa)_PT'!R124</f>
        <v>0.70243787801649527</v>
      </c>
      <c r="T124" s="158">
        <f>'[1]SITE (Imprensa)_PT'!S124</f>
        <v>3.2614194073923228E-3</v>
      </c>
      <c r="U124" s="6"/>
    </row>
    <row r="125" spans="2:21" ht="13.2" x14ac:dyDescent="0.25">
      <c r="B125" s="40" t="str">
        <f>[2]Base!A125</f>
        <v>GUARANI</v>
      </c>
      <c r="C125" s="41" t="str">
        <f>[2]Base!C125</f>
        <v>NM</v>
      </c>
      <c r="D125" s="19" t="s">
        <v>91</v>
      </c>
      <c r="E125" s="19" t="str">
        <f>[2]Base!M125</f>
        <v>UBS</v>
      </c>
      <c r="F125" s="19" t="str">
        <f>[2]Base!F125</f>
        <v>IPO</v>
      </c>
      <c r="G125" s="19" t="str">
        <f>[2]Base!G125</f>
        <v>ICVM 400</v>
      </c>
      <c r="H125" s="20">
        <f>[2]Base!X125</f>
        <v>39282</v>
      </c>
      <c r="I125" s="21">
        <f>[2]Base!W125</f>
        <v>13.5</v>
      </c>
      <c r="J125" s="22">
        <f>[2]Base!J125</f>
        <v>39286</v>
      </c>
      <c r="K125" s="23">
        <f>'[1]SITE (Imprensa)_PT'!K125</f>
        <v>12229</v>
      </c>
      <c r="L125" s="23">
        <f>[2]Base!DZ125</f>
        <v>12750</v>
      </c>
      <c r="M125" s="24">
        <f>[2]Base!AO125</f>
        <v>665758062</v>
      </c>
      <c r="N125" s="24">
        <f>[2]Base!AP125</f>
        <v>0</v>
      </c>
      <c r="O125" s="24">
        <f>[2]Base!AQ125</f>
        <v>665758062</v>
      </c>
      <c r="P125" s="24">
        <f>+[2]Base!ED125</f>
        <v>360961864.02081978</v>
      </c>
      <c r="Q125" s="157">
        <f>'[1]SITE (Imprensa)_PT'!P125</f>
        <v>0.11163641357866029</v>
      </c>
      <c r="R125" s="157">
        <f>'[1]SITE (Imprensa)_PT'!Q125</f>
        <v>0.43603055349678765</v>
      </c>
      <c r="S125" s="157">
        <f>'[1]SITE (Imprensa)_PT'!R125</f>
        <v>0.44979501336939859</v>
      </c>
      <c r="T125" s="158">
        <f>'[1]SITE (Imprensa)_PT'!S125</f>
        <v>2.5380195551534352E-3</v>
      </c>
      <c r="U125" s="6"/>
    </row>
    <row r="126" spans="2:21" ht="13.2" x14ac:dyDescent="0.25">
      <c r="B126" s="40" t="str">
        <f>[2]Base!A126</f>
        <v>TRIUNFO PART</v>
      </c>
      <c r="C126" s="41" t="str">
        <f>[2]Base!C126</f>
        <v>NM</v>
      </c>
      <c r="D126" s="19" t="s">
        <v>106</v>
      </c>
      <c r="E126" s="19" t="str">
        <f>[2]Base!M126</f>
        <v>Credit Suisse</v>
      </c>
      <c r="F126" s="19" t="str">
        <f>[2]Base!F126</f>
        <v>IPO</v>
      </c>
      <c r="G126" s="19" t="str">
        <f>[2]Base!G126</f>
        <v>ICVM 400</v>
      </c>
      <c r="H126" s="20">
        <f>[2]Base!X126</f>
        <v>39282</v>
      </c>
      <c r="I126" s="21">
        <f>[2]Base!W126</f>
        <v>9.5</v>
      </c>
      <c r="J126" s="22">
        <f>[2]Base!J126</f>
        <v>39286</v>
      </c>
      <c r="K126" s="23">
        <f>'[1]SITE (Imprensa)_PT'!K126</f>
        <v>7067</v>
      </c>
      <c r="L126" s="23">
        <f>[2]Base!DZ126</f>
        <v>7427</v>
      </c>
      <c r="M126" s="24">
        <f>[2]Base!AO126</f>
        <v>304438719.5</v>
      </c>
      <c r="N126" s="24">
        <f>[2]Base!AP126</f>
        <v>208561280.5</v>
      </c>
      <c r="O126" s="24">
        <f>[2]Base!AQ126</f>
        <v>513000000</v>
      </c>
      <c r="P126" s="24">
        <f>+[2]Base!ED126</f>
        <v>278139232.27065712</v>
      </c>
      <c r="Q126" s="157">
        <f>'[1]SITE (Imprensa)_PT'!P126</f>
        <v>8.5420032206119156E-2</v>
      </c>
      <c r="R126" s="157">
        <f>'[1]SITE (Imprensa)_PT'!Q126</f>
        <v>0.16731320450885667</v>
      </c>
      <c r="S126" s="157">
        <f>'[1]SITE (Imprensa)_PT'!R126</f>
        <v>0.74539797101449279</v>
      </c>
      <c r="T126" s="158">
        <f>'[1]SITE (Imprensa)_PT'!S126</f>
        <v>1.8687922705314009E-3</v>
      </c>
      <c r="U126" s="6"/>
    </row>
    <row r="127" spans="2:21" ht="13.2" x14ac:dyDescent="0.25">
      <c r="B127" s="40" t="str">
        <f>[2]Base!A127</f>
        <v>ABC BRASIL</v>
      </c>
      <c r="C127" s="41" t="str">
        <f>[2]Base!C127</f>
        <v>N2</v>
      </c>
      <c r="D127" s="19" t="s">
        <v>67</v>
      </c>
      <c r="E127" s="19" t="str">
        <f>[2]Base!M127</f>
        <v>UBS</v>
      </c>
      <c r="F127" s="19" t="str">
        <f>[2]Base!F127</f>
        <v>IPO</v>
      </c>
      <c r="G127" s="19" t="str">
        <f>[2]Base!G127</f>
        <v>ICVM 400</v>
      </c>
      <c r="H127" s="20">
        <f>[2]Base!X127</f>
        <v>39286</v>
      </c>
      <c r="I127" s="21">
        <f>[2]Base!W127</f>
        <v>13.5</v>
      </c>
      <c r="J127" s="22">
        <f>[2]Base!J127</f>
        <v>39288</v>
      </c>
      <c r="K127" s="23">
        <f>'[1]SITE (Imprensa)_PT'!K127</f>
        <v>5909</v>
      </c>
      <c r="L127" s="23">
        <f>[2]Base!DZ127</f>
        <v>6364</v>
      </c>
      <c r="M127" s="24">
        <f>[2]Base!AO127</f>
        <v>599400000</v>
      </c>
      <c r="N127" s="24">
        <f>[2]Base!AP127</f>
        <v>9450000</v>
      </c>
      <c r="O127" s="24">
        <f>[2]Base!AQ127</f>
        <v>608850000</v>
      </c>
      <c r="P127" s="24">
        <f>+[2]Base!ED127</f>
        <v>327338709.67741936</v>
      </c>
      <c r="Q127" s="157">
        <f>'[1]SITE (Imprensa)_PT'!P127</f>
        <v>0.11208310810810811</v>
      </c>
      <c r="R127" s="157">
        <f>'[1]SITE (Imprensa)_PT'!Q127</f>
        <v>0.23769067567567567</v>
      </c>
      <c r="S127" s="157">
        <f>'[1]SITE (Imprensa)_PT'!R127</f>
        <v>0.64804310810810806</v>
      </c>
      <c r="T127" s="158">
        <f>'[1]SITE (Imprensa)_PT'!S127</f>
        <v>2.183108108108108E-3</v>
      </c>
      <c r="U127" s="6"/>
    </row>
    <row r="128" spans="2:21" ht="13.2" x14ac:dyDescent="0.25">
      <c r="B128" s="40" t="str">
        <f>[2]Base!A128</f>
        <v>SPRINGS</v>
      </c>
      <c r="C128" s="41" t="str">
        <f>[2]Base!C128</f>
        <v>NM</v>
      </c>
      <c r="D128" s="19" t="s">
        <v>107</v>
      </c>
      <c r="E128" s="19" t="str">
        <f>[2]Base!M128</f>
        <v>Credit Suisse</v>
      </c>
      <c r="F128" s="19" t="str">
        <f>[2]Base!F128</f>
        <v>IPO</v>
      </c>
      <c r="G128" s="19" t="str">
        <f>[2]Base!G128</f>
        <v>ICVM 400</v>
      </c>
      <c r="H128" s="20">
        <f>[2]Base!X128</f>
        <v>39288</v>
      </c>
      <c r="I128" s="21">
        <f>[2]Base!W128</f>
        <v>19</v>
      </c>
      <c r="J128" s="22">
        <f>[2]Base!J128</f>
        <v>39290</v>
      </c>
      <c r="K128" s="23">
        <f>'[1]SITE (Imprensa)_PT'!K128</f>
        <v>7307</v>
      </c>
      <c r="L128" s="23">
        <f>[2]Base!DZ128</f>
        <v>7592</v>
      </c>
      <c r="M128" s="24">
        <f>[2]Base!AO128</f>
        <v>446500000</v>
      </c>
      <c r="N128" s="24">
        <f>[2]Base!AP128</f>
        <v>209000000</v>
      </c>
      <c r="O128" s="24">
        <f>[2]Base!AQ128</f>
        <v>655500000</v>
      </c>
      <c r="P128" s="24">
        <f>+[2]Base!ED128</f>
        <v>343193717.27748692</v>
      </c>
      <c r="Q128" s="157">
        <f>'[1]SITE (Imprensa)_PT'!P128</f>
        <v>6.2804840579710142E-2</v>
      </c>
      <c r="R128" s="157">
        <f>'[1]SITE (Imprensa)_PT'!Q128</f>
        <v>0.18064202898550724</v>
      </c>
      <c r="S128" s="157">
        <f>'[1]SITE (Imprensa)_PT'!R128</f>
        <v>0.36570678260869566</v>
      </c>
      <c r="T128" s="158">
        <f>'[1]SITE (Imprensa)_PT'!S128</f>
        <v>0.39084634782608696</v>
      </c>
      <c r="U128" s="6"/>
    </row>
    <row r="129" spans="2:21" ht="13.2" x14ac:dyDescent="0.25">
      <c r="B129" s="40" t="str">
        <f>[2]Base!A129</f>
        <v>PROVIDENCIA</v>
      </c>
      <c r="C129" s="41" t="str">
        <f>[2]Base!C129</f>
        <v>NM</v>
      </c>
      <c r="D129" s="19" t="s">
        <v>108</v>
      </c>
      <c r="E129" s="19" t="str">
        <f>[2]Base!M129</f>
        <v>UBS</v>
      </c>
      <c r="F129" s="19" t="str">
        <f>[2]Base!F129</f>
        <v>IPO</v>
      </c>
      <c r="G129" s="19" t="str">
        <f>[2]Base!G129</f>
        <v>ICVM 400</v>
      </c>
      <c r="H129" s="20">
        <f>[2]Base!X129</f>
        <v>39288</v>
      </c>
      <c r="I129" s="21">
        <f>[2]Base!W129</f>
        <v>15</v>
      </c>
      <c r="J129" s="22">
        <f>[2]Base!J129</f>
        <v>39290</v>
      </c>
      <c r="K129" s="23">
        <f>'[1]SITE (Imprensa)_PT'!K129</f>
        <v>11036</v>
      </c>
      <c r="L129" s="23">
        <f>[2]Base!DZ129</f>
        <v>11615</v>
      </c>
      <c r="M129" s="24">
        <f>[2]Base!AO129</f>
        <v>468750000</v>
      </c>
      <c r="N129" s="24">
        <f>[2]Base!AP129</f>
        <v>0</v>
      </c>
      <c r="O129" s="24">
        <f>[2]Base!AQ129</f>
        <v>468750000</v>
      </c>
      <c r="P129" s="24">
        <f>+[2]Base!ED129</f>
        <v>245418848.16753927</v>
      </c>
      <c r="Q129" s="157">
        <f>'[1]SITE (Imprensa)_PT'!P129</f>
        <v>9.3246636521739132E-2</v>
      </c>
      <c r="R129" s="157">
        <f>'[1]SITE (Imprensa)_PT'!Q129</f>
        <v>0.23296834782608697</v>
      </c>
      <c r="S129" s="157">
        <f>'[1]SITE (Imprensa)_PT'!R129</f>
        <v>0.67160027826086954</v>
      </c>
      <c r="T129" s="158">
        <f>'[1]SITE (Imprensa)_PT'!S129</f>
        <v>2.1847373913043478E-3</v>
      </c>
      <c r="U129" s="6"/>
    </row>
    <row r="130" spans="2:21" ht="13.2" x14ac:dyDescent="0.25">
      <c r="B130" s="40" t="str">
        <f>[2]Base!A130</f>
        <v>MULTIPLAN</v>
      </c>
      <c r="C130" s="41" t="str">
        <f>[2]Base!C130</f>
        <v>N2</v>
      </c>
      <c r="D130" s="19" t="s">
        <v>82</v>
      </c>
      <c r="E130" s="19" t="str">
        <f>[2]Base!M130</f>
        <v>UBS</v>
      </c>
      <c r="F130" s="19" t="str">
        <f>[2]Base!F130</f>
        <v>IPO</v>
      </c>
      <c r="G130" s="19" t="str">
        <f>[2]Base!G130</f>
        <v>ICVM 400</v>
      </c>
      <c r="H130" s="20">
        <f>[2]Base!X130</f>
        <v>39288</v>
      </c>
      <c r="I130" s="21">
        <f>[2]Base!W130</f>
        <v>25</v>
      </c>
      <c r="J130" s="22">
        <f>[2]Base!J130</f>
        <v>39290</v>
      </c>
      <c r="K130" s="23">
        <f>'[1]SITE (Imprensa)_PT'!K130</f>
        <v>24137</v>
      </c>
      <c r="L130" s="23">
        <f>[2]Base!DZ130</f>
        <v>25531</v>
      </c>
      <c r="M130" s="24">
        <f>[2]Base!AO130</f>
        <v>688327725</v>
      </c>
      <c r="N130" s="24">
        <f>[2]Base!AP130</f>
        <v>236200650</v>
      </c>
      <c r="O130" s="24">
        <f>[2]Base!AQ130</f>
        <v>924528375</v>
      </c>
      <c r="P130" s="24">
        <f>+[2]Base!ED130</f>
        <v>484046269.63350785</v>
      </c>
      <c r="Q130" s="157">
        <f>'[1]SITE (Imprensa)_PT'!P130</f>
        <v>9.7230319430042358E-2</v>
      </c>
      <c r="R130" s="157">
        <f>'[1]SITE (Imprensa)_PT'!Q130</f>
        <v>0.25952620446865432</v>
      </c>
      <c r="S130" s="157">
        <f>'[1]SITE (Imprensa)_PT'!R130</f>
        <v>0.63936613045796464</v>
      </c>
      <c r="T130" s="158">
        <f>'[1]SITE (Imprensa)_PT'!S130</f>
        <v>3.8773456433386258E-3</v>
      </c>
      <c r="U130" s="6"/>
    </row>
    <row r="131" spans="2:21" ht="13.2" x14ac:dyDescent="0.25">
      <c r="B131" s="40" t="str">
        <f>[2]Base!A131</f>
        <v>GENERALSHOPP</v>
      </c>
      <c r="C131" s="41" t="str">
        <f>[2]Base!C131</f>
        <v>NM</v>
      </c>
      <c r="D131" s="19" t="s">
        <v>82</v>
      </c>
      <c r="E131" s="19" t="str">
        <f>[2]Base!M131</f>
        <v>JP Morgan</v>
      </c>
      <c r="F131" s="19" t="str">
        <f>[2]Base!F131</f>
        <v>IPO</v>
      </c>
      <c r="G131" s="19" t="str">
        <f>[2]Base!G131</f>
        <v>ICVM 400</v>
      </c>
      <c r="H131" s="20">
        <f>[2]Base!X131</f>
        <v>39289</v>
      </c>
      <c r="I131" s="21">
        <f>[2]Base!W131</f>
        <v>14</v>
      </c>
      <c r="J131" s="22">
        <f>[2]Base!J131</f>
        <v>39293</v>
      </c>
      <c r="K131" s="23">
        <f>'[1]SITE (Imprensa)_PT'!K131</f>
        <v>4966</v>
      </c>
      <c r="L131" s="23">
        <f>[2]Base!DZ131</f>
        <v>5168</v>
      </c>
      <c r="M131" s="24">
        <f>[2]Base!AO131</f>
        <v>286728400</v>
      </c>
      <c r="N131" s="24">
        <f>[2]Base!AP131</f>
        <v>0</v>
      </c>
      <c r="O131" s="24">
        <f>[2]Base!AQ131</f>
        <v>286728400</v>
      </c>
      <c r="P131" s="24">
        <f>+[2]Base!ED131</f>
        <v>152515106.38297874</v>
      </c>
      <c r="Q131" s="157">
        <f>'[1]SITE (Imprensa)_PT'!P131</f>
        <v>9.6405663322185059E-2</v>
      </c>
      <c r="R131" s="157">
        <f>'[1]SITE (Imprensa)_PT'!Q131</f>
        <v>0.23837311036789297</v>
      </c>
      <c r="S131" s="157">
        <f>'[1]SITE (Imprensa)_PT'!R131</f>
        <v>0.66340026755852843</v>
      </c>
      <c r="T131" s="158">
        <f>'[1]SITE (Imprensa)_PT'!S131</f>
        <v>1.8209587513935341E-3</v>
      </c>
      <c r="U131" s="6"/>
    </row>
    <row r="132" spans="2:21" ht="13.2" x14ac:dyDescent="0.25">
      <c r="B132" s="40" t="str">
        <f>[2]Base!A132</f>
        <v>ESTACIO PART</v>
      </c>
      <c r="C132" s="41" t="str">
        <f>[2]Base!C132</f>
        <v>N2</v>
      </c>
      <c r="D132" s="19" t="s">
        <v>93</v>
      </c>
      <c r="E132" s="19" t="str">
        <f>[2]Base!M132</f>
        <v>UBS</v>
      </c>
      <c r="F132" s="19" t="str">
        <f>[2]Base!F132</f>
        <v>IPO</v>
      </c>
      <c r="G132" s="19" t="str">
        <f>[2]Base!G132</f>
        <v>ICVM 400</v>
      </c>
      <c r="H132" s="20">
        <f>[2]Base!X132</f>
        <v>39289</v>
      </c>
      <c r="I132" s="21">
        <f>[2]Base!W132</f>
        <v>22.5</v>
      </c>
      <c r="J132" s="22">
        <f>[2]Base!J132</f>
        <v>39293</v>
      </c>
      <c r="K132" s="23">
        <f>'[1]SITE (Imprensa)_PT'!K132</f>
        <v>10782</v>
      </c>
      <c r="L132" s="23">
        <f>[2]Base!DZ132</f>
        <v>11320</v>
      </c>
      <c r="M132" s="24">
        <f>[2]Base!AO132</f>
        <v>268164000</v>
      </c>
      <c r="N132" s="24">
        <f>[2]Base!AP132</f>
        <v>178776000</v>
      </c>
      <c r="O132" s="24">
        <f>[2]Base!AQ132</f>
        <v>446940000</v>
      </c>
      <c r="P132" s="24">
        <f>+[2]Base!ED132</f>
        <v>237734042.55319151</v>
      </c>
      <c r="Q132" s="157">
        <f>'[1]SITE (Imprensa)_PT'!P132</f>
        <v>8.915547461871158E-2</v>
      </c>
      <c r="R132" s="157">
        <f>'[1]SITE (Imprensa)_PT'!Q132</f>
        <v>0.2640286995044564</v>
      </c>
      <c r="S132" s="157">
        <f>'[1]SITE (Imprensa)_PT'!R132</f>
        <v>0.64297273634628516</v>
      </c>
      <c r="T132" s="158">
        <f>'[1]SITE (Imprensa)_PT'!S132</f>
        <v>3.8430895305468491E-3</v>
      </c>
      <c r="U132" s="6"/>
    </row>
    <row r="133" spans="2:21" ht="13.2" x14ac:dyDescent="0.25">
      <c r="B133" s="40" t="str">
        <f>[2]Base!A133</f>
        <v>BANRISUL</v>
      </c>
      <c r="C133" s="41" t="str">
        <f>[2]Base!C133</f>
        <v>N1</v>
      </c>
      <c r="D133" s="19" t="s">
        <v>67</v>
      </c>
      <c r="E133" s="19" t="str">
        <f>[2]Base!M133</f>
        <v>Credit Suisse</v>
      </c>
      <c r="F133" s="19" t="str">
        <f>[2]Base!F133</f>
        <v>FOLLOW-ON</v>
      </c>
      <c r="G133" s="19" t="str">
        <f>[2]Base!G133</f>
        <v>ICVM 400</v>
      </c>
      <c r="H133" s="20">
        <f>[2]Base!X133</f>
        <v>39287</v>
      </c>
      <c r="I133" s="21">
        <f>[2]Base!W133</f>
        <v>12</v>
      </c>
      <c r="J133" s="22">
        <f>[2]Base!J133</f>
        <v>39294</v>
      </c>
      <c r="K133" s="23">
        <f>'[1]SITE (Imprensa)_PT'!K133</f>
        <v>13220</v>
      </c>
      <c r="L133" s="23">
        <f>[2]Base!DZ133</f>
        <v>13799</v>
      </c>
      <c r="M133" s="24">
        <f>[2]Base!AO133</f>
        <v>799999992</v>
      </c>
      <c r="N133" s="24">
        <f>[2]Base!AP133</f>
        <v>1286956524</v>
      </c>
      <c r="O133" s="24">
        <f>[2]Base!AQ133</f>
        <v>2086956516</v>
      </c>
      <c r="P133" s="24">
        <f>+[2]Base!ED133</f>
        <v>1110083253.1914895</v>
      </c>
      <c r="Q133" s="157">
        <f>'[1]SITE (Imprensa)_PT'!P133</f>
        <v>6.0390630603906308E-2</v>
      </c>
      <c r="R133" s="157">
        <f>'[1]SITE (Imprensa)_PT'!Q133</f>
        <v>6.9262740692627403E-2</v>
      </c>
      <c r="S133" s="157">
        <f>'[1]SITE (Imprensa)_PT'!R133</f>
        <v>0.84492629344926296</v>
      </c>
      <c r="T133" s="158">
        <f>'[1]SITE (Imprensa)_PT'!S133</f>
        <v>2.5420335254203352E-2</v>
      </c>
      <c r="U133" s="6"/>
    </row>
    <row r="134" spans="2:21" ht="13.2" x14ac:dyDescent="0.25">
      <c r="B134" s="40" t="str">
        <f>[2]Base!A134</f>
        <v>COSAN LTD ¹</v>
      </c>
      <c r="C134" s="41" t="str">
        <f>[2]Base!C134</f>
        <v>BDR</v>
      </c>
      <c r="D134" s="19" t="s">
        <v>91</v>
      </c>
      <c r="E134" s="19" t="str">
        <f>[2]Base!M134</f>
        <v>Morgan Stanley</v>
      </c>
      <c r="F134" s="19" t="str">
        <f>[2]Base!F134</f>
        <v>IPO</v>
      </c>
      <c r="G134" s="19" t="str">
        <f>[2]Base!G134</f>
        <v>ICVM 400</v>
      </c>
      <c r="H134" s="20">
        <f>[2]Base!X134</f>
        <v>39310</v>
      </c>
      <c r="I134" s="21">
        <f>[2]Base!W134</f>
        <v>21.05</v>
      </c>
      <c r="J134" s="22">
        <f>[2]Base!J134</f>
        <v>39311</v>
      </c>
      <c r="K134" s="23">
        <f>'[1]SITE (Imprensa)_PT'!K134</f>
        <v>1560</v>
      </c>
      <c r="L134" s="23">
        <f>[2]Base!DZ134</f>
        <v>1819</v>
      </c>
      <c r="M134" s="24">
        <f>[2]Base!AO134</f>
        <v>275016439.69999999</v>
      </c>
      <c r="N134" s="24">
        <f>[2]Base!AP134</f>
        <v>0</v>
      </c>
      <c r="O134" s="24">
        <f>[2]Base!AQ134</f>
        <v>275016439.69999999</v>
      </c>
      <c r="P134" s="24">
        <f>+[2]Base!ED134</f>
        <v>134811980.24509802</v>
      </c>
      <c r="Q134" s="157">
        <f>'[1]SITE (Imprensa)_PT'!P134</f>
        <v>8.5760310893819736E-3</v>
      </c>
      <c r="R134" s="157">
        <f>'[1]SITE (Imprensa)_PT'!Q134</f>
        <v>6.497336091262379E-2</v>
      </c>
      <c r="S134" s="157">
        <f>'[1]SITE (Imprensa)_PT'!R134</f>
        <v>0.9262526728630528</v>
      </c>
      <c r="T134" s="158">
        <f>'[1]SITE (Imprensa)_PT'!S134</f>
        <v>1.9793513494152832E-4</v>
      </c>
      <c r="U134" s="6"/>
    </row>
    <row r="135" spans="2:21" ht="13.2" x14ac:dyDescent="0.25">
      <c r="B135" s="40" t="str">
        <f>[2]Base!A135</f>
        <v>SATIPEL</v>
      </c>
      <c r="C135" s="41" t="str">
        <f>[2]Base!C135</f>
        <v>NM</v>
      </c>
      <c r="D135" s="19" t="s">
        <v>80</v>
      </c>
      <c r="E135" s="19" t="str">
        <f>[2]Base!M135</f>
        <v>UBS</v>
      </c>
      <c r="F135" s="19" t="str">
        <f>[2]Base!F135</f>
        <v>IPO</v>
      </c>
      <c r="G135" s="19" t="str">
        <f>[2]Base!G135</f>
        <v>ICVM 400</v>
      </c>
      <c r="H135" s="20">
        <f>[2]Base!X135</f>
        <v>39344</v>
      </c>
      <c r="I135" s="21">
        <f>[2]Base!W135</f>
        <v>13</v>
      </c>
      <c r="J135" s="22">
        <f>[2]Base!J135</f>
        <v>39346</v>
      </c>
      <c r="K135" s="23">
        <f>'[1]SITE (Imprensa)_PT'!K135</f>
        <v>6756</v>
      </c>
      <c r="L135" s="23">
        <f>[2]Base!DZ135</f>
        <v>7211</v>
      </c>
      <c r="M135" s="24">
        <f>[2]Base!AO135</f>
        <v>227766344</v>
      </c>
      <c r="N135" s="24">
        <f>[2]Base!AP135</f>
        <v>184774057</v>
      </c>
      <c r="O135" s="24">
        <f>[2]Base!AQ135</f>
        <v>412540401</v>
      </c>
      <c r="P135" s="24">
        <f>+[2]Base!ED135</f>
        <v>221795914.51612902</v>
      </c>
      <c r="Q135" s="157">
        <f>'[1]SITE (Imprensa)_PT'!P135</f>
        <v>8.6447897709144489E-2</v>
      </c>
      <c r="R135" s="157">
        <f>'[1]SITE (Imprensa)_PT'!Q135</f>
        <v>0.21924022389117181</v>
      </c>
      <c r="S135" s="157">
        <f>'[1]SITE (Imprensa)_PT'!R135</f>
        <v>0.68953015553518604</v>
      </c>
      <c r="T135" s="158">
        <f>'[1]SITE (Imprensa)_PT'!S135</f>
        <v>4.7817228644976093E-3</v>
      </c>
      <c r="U135" s="6"/>
    </row>
    <row r="136" spans="2:21" ht="13.2" x14ac:dyDescent="0.25">
      <c r="B136" s="40" t="str">
        <f>[2]Base!A136</f>
        <v>SUL AMERICA</v>
      </c>
      <c r="C136" s="41" t="str">
        <f>[2]Base!C136</f>
        <v>N2</v>
      </c>
      <c r="D136" s="19" t="s">
        <v>64</v>
      </c>
      <c r="E136" s="19" t="str">
        <f>[2]Base!M136</f>
        <v>Unibanco</v>
      </c>
      <c r="F136" s="19" t="str">
        <f>[2]Base!F136</f>
        <v>IPO</v>
      </c>
      <c r="G136" s="19" t="str">
        <f>[2]Base!G136</f>
        <v>ICVM 400</v>
      </c>
      <c r="H136" s="20">
        <f>[2]Base!X136</f>
        <v>39358</v>
      </c>
      <c r="I136" s="21">
        <f>[2]Base!W136</f>
        <v>31</v>
      </c>
      <c r="J136" s="22">
        <f>[2]Base!J136</f>
        <v>39360</v>
      </c>
      <c r="K136" s="23">
        <f>'[1]SITE (Imprensa)_PT'!K136</f>
        <v>19047</v>
      </c>
      <c r="L136" s="23">
        <f>[2]Base!DZ136</f>
        <v>19979</v>
      </c>
      <c r="M136" s="24">
        <f>[2]Base!AO136</f>
        <v>775000000</v>
      </c>
      <c r="N136" s="24">
        <f>[2]Base!AP136</f>
        <v>0</v>
      </c>
      <c r="O136" s="24">
        <f>[2]Base!AQ136</f>
        <v>775000000</v>
      </c>
      <c r="P136" s="24">
        <f>+[2]Base!ED136</f>
        <v>428176795.58011049</v>
      </c>
      <c r="Q136" s="157">
        <f>'[1]SITE (Imprensa)_PT'!P136</f>
        <v>8.90986E-2</v>
      </c>
      <c r="R136" s="157">
        <f>'[1]SITE (Imprensa)_PT'!Q136</f>
        <v>2.9223200000000001E-2</v>
      </c>
      <c r="S136" s="157">
        <f>'[1]SITE (Imprensa)_PT'!R136</f>
        <v>0.87409999999999999</v>
      </c>
      <c r="T136" s="158">
        <f>'[1]SITE (Imprensa)_PT'!S136</f>
        <v>7.5782000000000002E-3</v>
      </c>
      <c r="U136" s="6"/>
    </row>
    <row r="137" spans="2:21" ht="13.2" x14ac:dyDescent="0.25">
      <c r="B137" s="40" t="str">
        <f>[2]Base!A137</f>
        <v>BICBANCO</v>
      </c>
      <c r="C137" s="41" t="str">
        <f>[2]Base!C137</f>
        <v>N1</v>
      </c>
      <c r="D137" s="19" t="s">
        <v>67</v>
      </c>
      <c r="E137" s="19" t="str">
        <f>[2]Base!M137</f>
        <v>UBS</v>
      </c>
      <c r="F137" s="19" t="str">
        <f>[2]Base!F137</f>
        <v>IPO</v>
      </c>
      <c r="G137" s="19" t="str">
        <f>[2]Base!G137</f>
        <v>ICVM 400</v>
      </c>
      <c r="H137" s="20">
        <f>[2]Base!X137</f>
        <v>39365</v>
      </c>
      <c r="I137" s="21">
        <f>[2]Base!W137</f>
        <v>11.5</v>
      </c>
      <c r="J137" s="22">
        <f>[2]Base!J137</f>
        <v>39370</v>
      </c>
      <c r="K137" s="23">
        <f>'[1]SITE (Imprensa)_PT'!K137</f>
        <v>5158</v>
      </c>
      <c r="L137" s="23">
        <f>[2]Base!DZ137</f>
        <v>6257</v>
      </c>
      <c r="M137" s="24">
        <f>[2]Base!AO137</f>
        <v>492915645</v>
      </c>
      <c r="N137" s="24">
        <f>[2]Base!AP137</f>
        <v>328610430</v>
      </c>
      <c r="O137" s="24">
        <f>[2]Base!AQ137</f>
        <v>821526075</v>
      </c>
      <c r="P137" s="24">
        <f>+[2]Base!ED137</f>
        <v>453881809.3922652</v>
      </c>
      <c r="Q137" s="157">
        <f>'[1]SITE (Imprensa)_PT'!P137</f>
        <v>4.918085223283996E-2</v>
      </c>
      <c r="R137" s="157">
        <f>'[1]SITE (Imprensa)_PT'!Q137</f>
        <v>8.6446248830263847E-2</v>
      </c>
      <c r="S137" s="157">
        <f>'[1]SITE (Imprensa)_PT'!R137</f>
        <v>0.84910050177043983</v>
      </c>
      <c r="T137" s="158">
        <f>'[1]SITE (Imprensa)_PT'!S137</f>
        <v>1.5272397166456342E-2</v>
      </c>
      <c r="U137" s="6"/>
    </row>
    <row r="138" spans="2:21" ht="13.2" x14ac:dyDescent="0.25">
      <c r="B138" s="40" t="str">
        <f>[2]Base!A138</f>
        <v>TRISUL</v>
      </c>
      <c r="C138" s="41" t="str">
        <f>[2]Base!C138</f>
        <v>NM</v>
      </c>
      <c r="D138" s="19" t="s">
        <v>77</v>
      </c>
      <c r="E138" s="19" t="str">
        <f>[2]Base!M138</f>
        <v>Morgan Stanley</v>
      </c>
      <c r="F138" s="19" t="str">
        <f>[2]Base!F138</f>
        <v>IPO</v>
      </c>
      <c r="G138" s="19" t="str">
        <f>[2]Base!G138</f>
        <v>ICVM 400</v>
      </c>
      <c r="H138" s="20">
        <f>[2]Base!X138</f>
        <v>39366</v>
      </c>
      <c r="I138" s="21">
        <f>[2]Base!W138</f>
        <v>11</v>
      </c>
      <c r="J138" s="22">
        <f>[2]Base!J138</f>
        <v>39370</v>
      </c>
      <c r="K138" s="23">
        <f>'[1]SITE (Imprensa)_PT'!K138</f>
        <v>2427</v>
      </c>
      <c r="L138" s="23">
        <f>[2]Base!DZ138</f>
        <v>2713</v>
      </c>
      <c r="M138" s="24">
        <f>[2]Base!AO138</f>
        <v>330281050</v>
      </c>
      <c r="N138" s="24">
        <f>[2]Base!AP138</f>
        <v>0</v>
      </c>
      <c r="O138" s="24">
        <f>[2]Base!AQ138</f>
        <v>330281050</v>
      </c>
      <c r="P138" s="24">
        <f>+[2]Base!ED138</f>
        <v>182475718.23204419</v>
      </c>
      <c r="Q138" s="157">
        <f>'[1]SITE (Imprensa)_PT'!P138</f>
        <v>5.2722532644321272E-2</v>
      </c>
      <c r="R138" s="157">
        <f>'[1]SITE (Imprensa)_PT'!Q138</f>
        <v>3.5100614260749563E-2</v>
      </c>
      <c r="S138" s="157">
        <f>'[1]SITE (Imprensa)_PT'!R138</f>
        <v>0.90793702889800576</v>
      </c>
      <c r="T138" s="158">
        <f>'[1]SITE (Imprensa)_PT'!S138</f>
        <v>4.239824196923446E-3</v>
      </c>
      <c r="U138" s="6"/>
    </row>
    <row r="139" spans="2:21" ht="13.2" x14ac:dyDescent="0.25">
      <c r="B139" s="40" t="str">
        <f>[2]Base!A139</f>
        <v>TENDA</v>
      </c>
      <c r="C139" s="41" t="str">
        <f>[2]Base!C139</f>
        <v>NM</v>
      </c>
      <c r="D139" s="19" t="s">
        <v>77</v>
      </c>
      <c r="E139" s="19" t="str">
        <f>[2]Base!M139</f>
        <v>Itaú BBA</v>
      </c>
      <c r="F139" s="19" t="str">
        <f>[2]Base!F139</f>
        <v>IPO</v>
      </c>
      <c r="G139" s="19" t="str">
        <f>[2]Base!G139</f>
        <v>ICVM 400</v>
      </c>
      <c r="H139" s="20">
        <f>[2]Base!X139</f>
        <v>39365</v>
      </c>
      <c r="I139" s="21">
        <f>[2]Base!W139</f>
        <v>9</v>
      </c>
      <c r="J139" s="22">
        <f>[2]Base!J139</f>
        <v>39370</v>
      </c>
      <c r="K139" s="23">
        <f>'[1]SITE (Imprensa)_PT'!K139</f>
        <v>10040</v>
      </c>
      <c r="L139" s="23">
        <f>[2]Base!DZ139</f>
        <v>10636</v>
      </c>
      <c r="M139" s="24">
        <f>[2]Base!AO139</f>
        <v>603000000</v>
      </c>
      <c r="N139" s="24">
        <f>[2]Base!AP139</f>
        <v>0</v>
      </c>
      <c r="O139" s="24">
        <f>[2]Base!AQ139</f>
        <v>603000000</v>
      </c>
      <c r="P139" s="24">
        <f>+[2]Base!ED139</f>
        <v>333149171.27071822</v>
      </c>
      <c r="Q139" s="157">
        <f>'[1]SITE (Imprensa)_PT'!P139</f>
        <v>9.7599935107073335E-2</v>
      </c>
      <c r="R139" s="157">
        <f>'[1]SITE (Imprensa)_PT'!Q139</f>
        <v>0.21687780661907852</v>
      </c>
      <c r="S139" s="157">
        <f>'[1]SITE (Imprensa)_PT'!R139</f>
        <v>0.68289958468526935</v>
      </c>
      <c r="T139" s="158">
        <f>'[1]SITE (Imprensa)_PT'!S139</f>
        <v>2.6226735885788448E-3</v>
      </c>
      <c r="U139" s="6"/>
    </row>
    <row r="140" spans="2:21" ht="13.2" x14ac:dyDescent="0.25">
      <c r="B140" s="40" t="str">
        <f>[2]Base!A140</f>
        <v>SEB</v>
      </c>
      <c r="C140" s="41" t="str">
        <f>[2]Base!C140</f>
        <v>N2</v>
      </c>
      <c r="D140" s="19" t="s">
        <v>93</v>
      </c>
      <c r="E140" s="19" t="str">
        <f>[2]Base!M140</f>
        <v>Credit Suisse</v>
      </c>
      <c r="F140" s="19" t="str">
        <f>[2]Base!F140</f>
        <v>IPO</v>
      </c>
      <c r="G140" s="19" t="str">
        <f>[2]Base!G140</f>
        <v>ICVM 400</v>
      </c>
      <c r="H140" s="20">
        <f>[2]Base!X140</f>
        <v>39371</v>
      </c>
      <c r="I140" s="21">
        <f>[2]Base!W140</f>
        <v>33</v>
      </c>
      <c r="J140" s="22">
        <f>[2]Base!J140</f>
        <v>39373</v>
      </c>
      <c r="K140" s="23">
        <f>'[1]SITE (Imprensa)_PT'!K140</f>
        <v>3681</v>
      </c>
      <c r="L140" s="23">
        <f>[2]Base!DZ140</f>
        <v>3875</v>
      </c>
      <c r="M140" s="24">
        <f>[2]Base!AO140</f>
        <v>288750000</v>
      </c>
      <c r="N140" s="24">
        <f>[2]Base!AP140</f>
        <v>123750000</v>
      </c>
      <c r="O140" s="24">
        <f>[2]Base!AQ140</f>
        <v>412500000</v>
      </c>
      <c r="P140" s="24">
        <f>+[2]Base!ED140</f>
        <v>227900552.48618785</v>
      </c>
      <c r="Q140" s="157">
        <f>'[1]SITE (Imprensa)_PT'!P140</f>
        <v>6.445892173913044E-2</v>
      </c>
      <c r="R140" s="157">
        <f>'[1]SITE (Imprensa)_PT'!Q140</f>
        <v>0.13756173913043479</v>
      </c>
      <c r="S140" s="157">
        <f>'[1]SITE (Imprensa)_PT'!R140</f>
        <v>0.79674782608695649</v>
      </c>
      <c r="T140" s="158">
        <f>'[1]SITE (Imprensa)_PT'!S140</f>
        <v>1.231513043478261E-3</v>
      </c>
      <c r="U140" s="6"/>
    </row>
    <row r="141" spans="2:21" ht="13.2" x14ac:dyDescent="0.25">
      <c r="B141" s="40" t="str">
        <f>[2]Base!A141</f>
        <v>BR MALLS PAR</v>
      </c>
      <c r="C141" s="41" t="str">
        <f>[2]Base!C141</f>
        <v>NM</v>
      </c>
      <c r="D141" s="19" t="s">
        <v>82</v>
      </c>
      <c r="E141" s="19" t="str">
        <f>[2]Base!M141</f>
        <v>Itaú BBA</v>
      </c>
      <c r="F141" s="19" t="str">
        <f>[2]Base!F141</f>
        <v>FOLLOW-ON</v>
      </c>
      <c r="G141" s="19" t="str">
        <f>[2]Base!G141</f>
        <v>ICVM 400</v>
      </c>
      <c r="H141" s="20">
        <f>[2]Base!X141</f>
        <v>39372</v>
      </c>
      <c r="I141" s="21">
        <f>[2]Base!W141</f>
        <v>25</v>
      </c>
      <c r="J141" s="22">
        <f>[2]Base!J141</f>
        <v>39374</v>
      </c>
      <c r="K141" s="23">
        <f>'[1]SITE (Imprensa)_PT'!K141</f>
        <v>2294</v>
      </c>
      <c r="L141" s="23">
        <f>[2]Base!DZ141</f>
        <v>2643</v>
      </c>
      <c r="M141" s="24">
        <f>[2]Base!AO141</f>
        <v>664450000</v>
      </c>
      <c r="N141" s="24">
        <f>[2]Base!AP141</f>
        <v>0</v>
      </c>
      <c r="O141" s="24">
        <f>[2]Base!AQ141</f>
        <v>664450000</v>
      </c>
      <c r="P141" s="24">
        <f>+[2]Base!ED141</f>
        <v>369138888.8888889</v>
      </c>
      <c r="Q141" s="157">
        <f>'[1]SITE (Imprensa)_PT'!P141</f>
        <v>3.0928407407407408E-2</v>
      </c>
      <c r="R141" s="157">
        <f>'[1]SITE (Imprensa)_PT'!Q141</f>
        <v>7.591188888888889E-2</v>
      </c>
      <c r="S141" s="157">
        <f>'[1]SITE (Imprensa)_PT'!R141</f>
        <v>0.6919494074074074</v>
      </c>
      <c r="T141" s="158">
        <f>'[1]SITE (Imprensa)_PT'!S141</f>
        <v>0.2012102962962963</v>
      </c>
      <c r="U141" s="6"/>
    </row>
    <row r="142" spans="2:21" ht="13.2" x14ac:dyDescent="0.25">
      <c r="B142" s="40" t="str">
        <f>[2]Base!A142</f>
        <v>MARISA</v>
      </c>
      <c r="C142" s="41" t="str">
        <f>[2]Base!C142</f>
        <v>NM</v>
      </c>
      <c r="D142" s="19" t="s">
        <v>109</v>
      </c>
      <c r="E142" s="19" t="str">
        <f>[2]Base!M142</f>
        <v>Credit Suisse</v>
      </c>
      <c r="F142" s="19" t="str">
        <f>[2]Base!F142</f>
        <v>IPO</v>
      </c>
      <c r="G142" s="19" t="str">
        <f>[2]Base!G142</f>
        <v>ICVM 400</v>
      </c>
      <c r="H142" s="20">
        <f>[2]Base!X142</f>
        <v>39373</v>
      </c>
      <c r="I142" s="21">
        <f>[2]Base!W142</f>
        <v>10</v>
      </c>
      <c r="J142" s="22">
        <f>[2]Base!J142</f>
        <v>39377</v>
      </c>
      <c r="K142" s="23">
        <f>'[1]SITE (Imprensa)_PT'!K142</f>
        <v>13012</v>
      </c>
      <c r="L142" s="23">
        <f>[2]Base!DZ142</f>
        <v>13733</v>
      </c>
      <c r="M142" s="24">
        <f>[2]Base!AO142</f>
        <v>506000000</v>
      </c>
      <c r="N142" s="24">
        <f>[2]Base!AP142</f>
        <v>0</v>
      </c>
      <c r="O142" s="24">
        <f>[2]Base!AQ142</f>
        <v>506000000</v>
      </c>
      <c r="P142" s="24">
        <f>+[2]Base!ED142</f>
        <v>278021978.02197802</v>
      </c>
      <c r="Q142" s="157">
        <f>'[1]SITE (Imprensa)_PT'!P142</f>
        <v>8.9357351778656127E-2</v>
      </c>
      <c r="R142" s="157">
        <f>'[1]SITE (Imprensa)_PT'!Q142</f>
        <v>0.26814037549407116</v>
      </c>
      <c r="S142" s="157">
        <f>'[1]SITE (Imprensa)_PT'!R142</f>
        <v>0.63801079051383403</v>
      </c>
      <c r="T142" s="158">
        <f>'[1]SITE (Imprensa)_PT'!S142</f>
        <v>4.4914822134387352E-3</v>
      </c>
      <c r="U142" s="6"/>
    </row>
    <row r="143" spans="2:21" ht="13.2" x14ac:dyDescent="0.25">
      <c r="B143" s="40" t="str">
        <f>[2]Base!A143</f>
        <v>PDG REALT</v>
      </c>
      <c r="C143" s="41" t="str">
        <f>[2]Base!C143</f>
        <v>NM</v>
      </c>
      <c r="D143" s="19" t="s">
        <v>77</v>
      </c>
      <c r="E143" s="19" t="str">
        <f>[2]Base!M143</f>
        <v>UBS</v>
      </c>
      <c r="F143" s="19" t="str">
        <f>[2]Base!F143</f>
        <v>FOLLOW-ON</v>
      </c>
      <c r="G143" s="19" t="str">
        <f>[2]Base!G143</f>
        <v>ICVM 400</v>
      </c>
      <c r="H143" s="20">
        <f>[2]Base!X143</f>
        <v>39377</v>
      </c>
      <c r="I143" s="21">
        <f>[2]Base!W143</f>
        <v>25</v>
      </c>
      <c r="J143" s="22">
        <f>[2]Base!J143</f>
        <v>39378</v>
      </c>
      <c r="K143" s="23">
        <f>'[1]SITE (Imprensa)_PT'!K143</f>
        <v>931</v>
      </c>
      <c r="L143" s="23">
        <f>[2]Base!DZ143</f>
        <v>1062</v>
      </c>
      <c r="M143" s="24">
        <f>[2]Base!AO143</f>
        <v>575000000</v>
      </c>
      <c r="N143" s="24">
        <f>[2]Base!AP143</f>
        <v>0</v>
      </c>
      <c r="O143" s="24">
        <f>[2]Base!AQ143</f>
        <v>575000000</v>
      </c>
      <c r="P143" s="24">
        <f>+[2]Base!ED143</f>
        <v>319444444.44444442</v>
      </c>
      <c r="Q143" s="157">
        <f>'[1]SITE (Imprensa)_PT'!P143</f>
        <v>6.0863130434782607E-2</v>
      </c>
      <c r="R143" s="157">
        <f>'[1]SITE (Imprensa)_PT'!Q143</f>
        <v>0.24528152173913043</v>
      </c>
      <c r="S143" s="157">
        <f>'[1]SITE (Imprensa)_PT'!R143</f>
        <v>0.60593360869565216</v>
      </c>
      <c r="T143" s="158">
        <f>'[1]SITE (Imprensa)_PT'!S143</f>
        <v>8.7921739130434787E-2</v>
      </c>
      <c r="U143" s="6"/>
    </row>
    <row r="144" spans="2:21" ht="13.2" x14ac:dyDescent="0.25">
      <c r="B144" s="40" t="str">
        <f>[2]Base!A144</f>
        <v>AGRENCO</v>
      </c>
      <c r="C144" s="41" t="str">
        <f>[2]Base!C144</f>
        <v>BDR</v>
      </c>
      <c r="D144" s="19" t="s">
        <v>110</v>
      </c>
      <c r="E144" s="19" t="str">
        <f>[2]Base!M144</f>
        <v>Credit Suisse</v>
      </c>
      <c r="F144" s="19" t="str">
        <f>[2]Base!F144</f>
        <v>IPO</v>
      </c>
      <c r="G144" s="19" t="str">
        <f>[2]Base!G144</f>
        <v>ICVM 400</v>
      </c>
      <c r="H144" s="20">
        <f>[2]Base!X144</f>
        <v>39378</v>
      </c>
      <c r="I144" s="21">
        <f>[2]Base!W144</f>
        <v>10.4</v>
      </c>
      <c r="J144" s="22">
        <f>[2]Base!J144</f>
        <v>39380</v>
      </c>
      <c r="K144" s="23">
        <f>'[1]SITE (Imprensa)_PT'!K144</f>
        <v>799</v>
      </c>
      <c r="L144" s="23">
        <f>[2]Base!DZ144</f>
        <v>908</v>
      </c>
      <c r="M144" s="24">
        <f>[2]Base!AO144</f>
        <v>666187454.39999998</v>
      </c>
      <c r="N144" s="24">
        <f>[2]Base!AP144</f>
        <v>0</v>
      </c>
      <c r="O144" s="24">
        <f>[2]Base!AQ144</f>
        <v>666187454.39999998</v>
      </c>
      <c r="P144" s="24">
        <f>+[2]Base!ED144</f>
        <v>372379795.64002234</v>
      </c>
      <c r="Q144" s="157">
        <f>'[1]SITE (Imprensa)_PT'!P144</f>
        <v>9.2767354635136332E-3</v>
      </c>
      <c r="R144" s="157">
        <f>'[1]SITE (Imprensa)_PT'!Q144</f>
        <v>2.572742621386653E-2</v>
      </c>
      <c r="S144" s="157">
        <f>'[1]SITE (Imprensa)_PT'!R144</f>
        <v>0.87839274994554739</v>
      </c>
      <c r="T144" s="158">
        <f>'[1]SITE (Imprensa)_PT'!S144</f>
        <v>8.6603088377072535E-2</v>
      </c>
      <c r="U144" s="6"/>
    </row>
    <row r="145" spans="2:21" ht="13.2" x14ac:dyDescent="0.25">
      <c r="B145" s="40" t="str">
        <f>[2]Base!A145</f>
        <v>BOVESPA HLD</v>
      </c>
      <c r="C145" s="41" t="str">
        <f>[2]Base!C145</f>
        <v>NM</v>
      </c>
      <c r="D145" s="19" t="s">
        <v>104</v>
      </c>
      <c r="E145" s="19" t="str">
        <f>[2]Base!M145</f>
        <v>Credit Suisse</v>
      </c>
      <c r="F145" s="19" t="str">
        <f>[2]Base!F145</f>
        <v>IPO</v>
      </c>
      <c r="G145" s="19" t="str">
        <f>[2]Base!G145</f>
        <v>ICVM 400</v>
      </c>
      <c r="H145" s="20">
        <f>[2]Base!X145</f>
        <v>39379</v>
      </c>
      <c r="I145" s="21">
        <f>[2]Base!W145</f>
        <v>23</v>
      </c>
      <c r="J145" s="22">
        <f>[2]Base!J145</f>
        <v>39381</v>
      </c>
      <c r="K145" s="23">
        <f>'[1]SITE (Imprensa)_PT'!K145</f>
        <v>63929</v>
      </c>
      <c r="L145" s="23">
        <f>[2]Base!DZ145</f>
        <v>67914</v>
      </c>
      <c r="M145" s="24">
        <f>[2]Base!AO145</f>
        <v>0</v>
      </c>
      <c r="N145" s="24">
        <f>[2]Base!AP145</f>
        <v>6625520875</v>
      </c>
      <c r="O145" s="24">
        <f>[2]Base!AQ145</f>
        <v>6625520875</v>
      </c>
      <c r="P145" s="24">
        <f>+[2]Base!ED145</f>
        <v>3733108448.8393059</v>
      </c>
      <c r="Q145" s="157">
        <f>'[1]SITE (Imprensa)_PT'!P145</f>
        <v>8.9246342311162061E-2</v>
      </c>
      <c r="R145" s="157">
        <f>'[1]SITE (Imprensa)_PT'!Q145</f>
        <v>0.12731819126598104</v>
      </c>
      <c r="S145" s="157">
        <f>'[1]SITE (Imprensa)_PT'!R145</f>
        <v>0.78023958214455102</v>
      </c>
      <c r="T145" s="158">
        <f>'[1]SITE (Imprensa)_PT'!S145</f>
        <v>3.1958842783058926E-3</v>
      </c>
      <c r="U145" s="6"/>
    </row>
    <row r="146" spans="2:21" ht="13.2" x14ac:dyDescent="0.25">
      <c r="B146" s="40" t="str">
        <f>[2]Base!A146</f>
        <v>BR BROKERS</v>
      </c>
      <c r="C146" s="41" t="str">
        <f>[2]Base!C146</f>
        <v>NM</v>
      </c>
      <c r="D146" s="19" t="s">
        <v>82</v>
      </c>
      <c r="E146" s="19" t="str">
        <f>[2]Base!M146</f>
        <v>Credit Suisse</v>
      </c>
      <c r="F146" s="19" t="str">
        <f>[2]Base!F146</f>
        <v>IPO</v>
      </c>
      <c r="G146" s="19" t="str">
        <f>[2]Base!G146</f>
        <v>ICVM 400</v>
      </c>
      <c r="H146" s="20">
        <f>[2]Base!X146</f>
        <v>39380</v>
      </c>
      <c r="I146" s="21">
        <f>[2]Base!W146</f>
        <v>950</v>
      </c>
      <c r="J146" s="22">
        <f>[2]Base!J146</f>
        <v>39384</v>
      </c>
      <c r="K146" s="23">
        <f>'[1]SITE (Imprensa)_PT'!K146</f>
        <v>13</v>
      </c>
      <c r="L146" s="23">
        <f>[2]Base!DZ146</f>
        <v>130</v>
      </c>
      <c r="M146" s="24">
        <f>[2]Base!AO146</f>
        <v>304017100</v>
      </c>
      <c r="N146" s="24">
        <f>[2]Base!AP146</f>
        <v>395087900</v>
      </c>
      <c r="O146" s="24">
        <f>[2]Base!AQ146</f>
        <v>699105000</v>
      </c>
      <c r="P146" s="24">
        <f>+[2]Base!ED146</f>
        <v>397218750</v>
      </c>
      <c r="Q146" s="157">
        <f>'[1]SITE (Imprensa)_PT'!P146</f>
        <v>5.2996331023236849E-3</v>
      </c>
      <c r="R146" s="157">
        <f>'[1]SITE (Imprensa)_PT'!Q146</f>
        <v>1.4841690447071614E-2</v>
      </c>
      <c r="S146" s="157">
        <f>'[1]SITE (Imprensa)_PT'!R146</f>
        <v>0.97985867645060465</v>
      </c>
      <c r="T146" s="158">
        <f>'[1]SITE (Imprensa)_PT'!S146</f>
        <v>0</v>
      </c>
      <c r="U146" s="6"/>
    </row>
    <row r="147" spans="2:21" ht="13.2" x14ac:dyDescent="0.25">
      <c r="B147" s="40" t="str">
        <f>[2]Base!A147</f>
        <v>AMIL</v>
      </c>
      <c r="C147" s="41" t="str">
        <f>[2]Base!C147</f>
        <v>NM</v>
      </c>
      <c r="D147" s="19" t="s">
        <v>63</v>
      </c>
      <c r="E147" s="19" t="str">
        <f>[2]Base!M147</f>
        <v>Credit Suisse</v>
      </c>
      <c r="F147" s="19" t="str">
        <f>[2]Base!F147</f>
        <v>IPO</v>
      </c>
      <c r="G147" s="19" t="str">
        <f>[2]Base!G147</f>
        <v>ICVM 400</v>
      </c>
      <c r="H147" s="20">
        <f>[2]Base!X147</f>
        <v>39380</v>
      </c>
      <c r="I147" s="21">
        <f>[2]Base!W147</f>
        <v>14</v>
      </c>
      <c r="J147" s="22">
        <f>[2]Base!J147</f>
        <v>39384</v>
      </c>
      <c r="K147" s="23">
        <f>'[1]SITE (Imprensa)_PT'!K147</f>
        <v>4340</v>
      </c>
      <c r="L147" s="23">
        <f>[2]Base!DZ147</f>
        <v>4675</v>
      </c>
      <c r="M147" s="24">
        <f>[2]Base!AO147</f>
        <v>994700000</v>
      </c>
      <c r="N147" s="24">
        <f>[2]Base!AP147</f>
        <v>406000000</v>
      </c>
      <c r="O147" s="24">
        <f>[2]Base!AQ147</f>
        <v>1400700000</v>
      </c>
      <c r="P147" s="24">
        <f>+[2]Base!ED147</f>
        <v>795852272.72727275</v>
      </c>
      <c r="Q147" s="157">
        <f>'[1]SITE (Imprensa)_PT'!P147</f>
        <v>3.8417471264367814E-2</v>
      </c>
      <c r="R147" s="157">
        <f>'[1]SITE (Imprensa)_PT'!Q147</f>
        <v>0.15639552223888056</v>
      </c>
      <c r="S147" s="157">
        <f>'[1]SITE (Imprensa)_PT'!R147</f>
        <v>0.80452467766116942</v>
      </c>
      <c r="T147" s="158">
        <f>'[1]SITE (Imprensa)_PT'!S147</f>
        <v>6.623288355822089E-4</v>
      </c>
      <c r="U147" s="6"/>
    </row>
    <row r="148" spans="2:21" ht="13.2" x14ac:dyDescent="0.25">
      <c r="B148" s="40" t="str">
        <f>[2]Base!A148</f>
        <v>HELBOR</v>
      </c>
      <c r="C148" s="41" t="str">
        <f>[2]Base!C148</f>
        <v>NM</v>
      </c>
      <c r="D148" s="19" t="s">
        <v>77</v>
      </c>
      <c r="E148" s="19" t="str">
        <f>[2]Base!M148</f>
        <v>Bradesco BBI</v>
      </c>
      <c r="F148" s="19" t="str">
        <f>[2]Base!F148</f>
        <v>IPO</v>
      </c>
      <c r="G148" s="19" t="str">
        <f>[2]Base!G148</f>
        <v>ICVM 400</v>
      </c>
      <c r="H148" s="20">
        <f>[2]Base!X148</f>
        <v>39379</v>
      </c>
      <c r="I148" s="21">
        <f>[2]Base!W148</f>
        <v>11</v>
      </c>
      <c r="J148" s="22">
        <f>[2]Base!J148</f>
        <v>39384</v>
      </c>
      <c r="K148" s="23">
        <f>'[1]SITE (Imprensa)_PT'!K148</f>
        <v>709</v>
      </c>
      <c r="L148" s="23">
        <f>[2]Base!DZ148</f>
        <v>845</v>
      </c>
      <c r="M148" s="24">
        <f>[2]Base!AO148</f>
        <v>251832053</v>
      </c>
      <c r="N148" s="24">
        <f>[2]Base!AP148</f>
        <v>0</v>
      </c>
      <c r="O148" s="24">
        <f>[2]Base!AQ148</f>
        <v>251832053</v>
      </c>
      <c r="P148" s="24">
        <f>+[2]Base!ED148</f>
        <v>143086393.75</v>
      </c>
      <c r="Q148" s="157">
        <f>'[1]SITE (Imprensa)_PT'!P148</f>
        <v>6.4511614699428538E-2</v>
      </c>
      <c r="R148" s="157">
        <f>'[1]SITE (Imprensa)_PT'!Q148</f>
        <v>0.34599387067754239</v>
      </c>
      <c r="S148" s="157">
        <f>'[1]SITE (Imprensa)_PT'!R148</f>
        <v>0.55525000428967808</v>
      </c>
      <c r="T148" s="158">
        <f>'[1]SITE (Imprensa)_PT'!S148</f>
        <v>3.4244510333350985E-2</v>
      </c>
      <c r="U148" s="6"/>
    </row>
    <row r="149" spans="2:21" ht="13.2" x14ac:dyDescent="0.25">
      <c r="B149" s="40" t="str">
        <f>[2]Base!A149</f>
        <v>LAEP</v>
      </c>
      <c r="C149" s="41" t="str">
        <f>[2]Base!C149</f>
        <v>BDR</v>
      </c>
      <c r="D149" s="19" t="s">
        <v>111</v>
      </c>
      <c r="E149" s="19" t="str">
        <f>[2]Base!M149</f>
        <v>UBS</v>
      </c>
      <c r="F149" s="19" t="str">
        <f>[2]Base!F149</f>
        <v>IPO</v>
      </c>
      <c r="G149" s="19" t="str">
        <f>[2]Base!G149</f>
        <v>ICVM 400</v>
      </c>
      <c r="H149" s="20">
        <f>[2]Base!X149</f>
        <v>39381</v>
      </c>
      <c r="I149" s="21">
        <f>[2]Base!W149</f>
        <v>7.5</v>
      </c>
      <c r="J149" s="22">
        <f>[2]Base!J149</f>
        <v>39386</v>
      </c>
      <c r="K149" s="23">
        <f>'[1]SITE (Imprensa)_PT'!K149</f>
        <v>556</v>
      </c>
      <c r="L149" s="23">
        <f>[2]Base!DZ149</f>
        <v>706</v>
      </c>
      <c r="M149" s="24">
        <f>[2]Base!AO149</f>
        <v>507611107.5</v>
      </c>
      <c r="N149" s="24">
        <f>[2]Base!AP149</f>
        <v>0</v>
      </c>
      <c r="O149" s="24">
        <f>[2]Base!AQ149</f>
        <v>507611107.5</v>
      </c>
      <c r="P149" s="24">
        <f>+[2]Base!ED149</f>
        <v>291730521.55172414</v>
      </c>
      <c r="Q149" s="157">
        <f>'[1]SITE (Imprensa)_PT'!P149</f>
        <v>8.3484727528347086E-3</v>
      </c>
      <c r="R149" s="157">
        <f>'[1]SITE (Imprensa)_PT'!Q149</f>
        <v>0.26550742883418876</v>
      </c>
      <c r="S149" s="157">
        <f>'[1]SITE (Imprensa)_PT'!R149</f>
        <v>0.72549238395064075</v>
      </c>
      <c r="T149" s="158">
        <f>'[1]SITE (Imprensa)_PT'!S149</f>
        <v>6.5171446233571633E-4</v>
      </c>
      <c r="U149" s="6"/>
    </row>
    <row r="150" spans="2:21" ht="13.2" x14ac:dyDescent="0.25">
      <c r="B150" s="40" t="str">
        <f>[2]Base!A150</f>
        <v>PANAMERICANO</v>
      </c>
      <c r="C150" s="41" t="str">
        <f>[2]Base!C150</f>
        <v>N1</v>
      </c>
      <c r="D150" s="19" t="s">
        <v>67</v>
      </c>
      <c r="E150" s="19" t="str">
        <f>[2]Base!M150</f>
        <v>UBS</v>
      </c>
      <c r="F150" s="19" t="str">
        <f>[2]Base!F150</f>
        <v>IPO</v>
      </c>
      <c r="G150" s="19" t="str">
        <f>[2]Base!G150</f>
        <v>ICVM 400</v>
      </c>
      <c r="H150" s="20">
        <f>[2]Base!X150</f>
        <v>39399</v>
      </c>
      <c r="I150" s="21">
        <f>[2]Base!W150</f>
        <v>10</v>
      </c>
      <c r="J150" s="22">
        <f>[2]Base!J150</f>
        <v>39405</v>
      </c>
      <c r="K150" s="23">
        <f>'[1]SITE (Imprensa)_PT'!K150</f>
        <v>21044</v>
      </c>
      <c r="L150" s="23">
        <f>[2]Base!DZ150</f>
        <v>21792</v>
      </c>
      <c r="M150" s="24">
        <f>[2]Base!AO150</f>
        <v>700426000</v>
      </c>
      <c r="N150" s="24">
        <f>[2]Base!AP150</f>
        <v>0</v>
      </c>
      <c r="O150" s="24">
        <f>[2]Base!AQ150</f>
        <v>700426000</v>
      </c>
      <c r="P150" s="24">
        <f>+[2]Base!ED150</f>
        <v>397969318.18181819</v>
      </c>
      <c r="Q150" s="157">
        <f>'[1]SITE (Imprensa)_PT'!P150</f>
        <v>0.10352751008977844</v>
      </c>
      <c r="R150" s="157">
        <f>'[1]SITE (Imprensa)_PT'!Q150</f>
        <v>0.22404301540235566</v>
      </c>
      <c r="S150" s="157">
        <f>'[1]SITE (Imprensa)_PT'!R150</f>
        <v>0.6705939584877687</v>
      </c>
      <c r="T150" s="158">
        <f>'[1]SITE (Imprensa)_PT'!S150</f>
        <v>1.8355160200971914E-3</v>
      </c>
      <c r="U150" s="6"/>
    </row>
    <row r="151" spans="2:21" ht="13.2" x14ac:dyDescent="0.25">
      <c r="B151" s="40" t="str">
        <f>[2]Base!A151</f>
        <v>BMF</v>
      </c>
      <c r="C151" s="41" t="str">
        <f>[2]Base!C151</f>
        <v>NM</v>
      </c>
      <c r="D151" s="19" t="s">
        <v>104</v>
      </c>
      <c r="E151" s="19" t="str">
        <f>[2]Base!M151</f>
        <v>Bradesco BBI</v>
      </c>
      <c r="F151" s="19" t="str">
        <f>[2]Base!F151</f>
        <v>IPO</v>
      </c>
      <c r="G151" s="19" t="str">
        <f>[2]Base!G151</f>
        <v>ICVM 400</v>
      </c>
      <c r="H151" s="20">
        <f>[2]Base!X151</f>
        <v>39414</v>
      </c>
      <c r="I151" s="21">
        <f>[2]Base!W151</f>
        <v>20</v>
      </c>
      <c r="J151" s="22">
        <f>[2]Base!J151</f>
        <v>39416</v>
      </c>
      <c r="K151" s="23">
        <f>'[1]SITE (Imprensa)_PT'!K151</f>
        <v>253707</v>
      </c>
      <c r="L151" s="23">
        <f>[2]Base!DZ151</f>
        <v>260946</v>
      </c>
      <c r="M151" s="24">
        <f>[2]Base!AO151</f>
        <v>0</v>
      </c>
      <c r="N151" s="24">
        <f>[2]Base!AP151</f>
        <v>5983696920</v>
      </c>
      <c r="O151" s="24">
        <f>[2]Base!AQ151</f>
        <v>5983696920</v>
      </c>
      <c r="P151" s="24">
        <f>+[2]Base!ED151</f>
        <v>3361627483.1460671</v>
      </c>
      <c r="Q151" s="157">
        <f>'[1]SITE (Imprensa)_PT'!P151</f>
        <v>9.9923018828299875E-2</v>
      </c>
      <c r="R151" s="157">
        <f>'[1]SITE (Imprensa)_PT'!Q151</f>
        <v>0.1218459607409394</v>
      </c>
      <c r="S151" s="157">
        <f>'[1]SITE (Imprensa)_PT'!R151</f>
        <v>0.77356249186497905</v>
      </c>
      <c r="T151" s="158">
        <f>'[1]SITE (Imprensa)_PT'!S151</f>
        <v>4.6685285657817044E-3</v>
      </c>
      <c r="U151" s="6"/>
    </row>
    <row r="152" spans="2:21" ht="13.2" x14ac:dyDescent="0.25">
      <c r="B152" s="40" t="str">
        <f>[2]Base!A152</f>
        <v>MPX ENERGIA</v>
      </c>
      <c r="C152" s="41" t="str">
        <f>[2]Base!C152</f>
        <v>NM</v>
      </c>
      <c r="D152" s="19" t="s">
        <v>60</v>
      </c>
      <c r="E152" s="19" t="str">
        <f>[2]Base!M152</f>
        <v>UBS</v>
      </c>
      <c r="F152" s="19" t="str">
        <f>[2]Base!F152</f>
        <v>IPO</v>
      </c>
      <c r="G152" s="19" t="str">
        <f>[2]Base!G152</f>
        <v>ICVM 400</v>
      </c>
      <c r="H152" s="20">
        <f>[2]Base!X152</f>
        <v>39428</v>
      </c>
      <c r="I152" s="21">
        <f>[2]Base!W152</f>
        <v>1006.63</v>
      </c>
      <c r="J152" s="22">
        <f>[2]Base!J152</f>
        <v>39430</v>
      </c>
      <c r="K152" s="23">
        <f>'[1]SITE (Imprensa)_PT'!K152</f>
        <v>148</v>
      </c>
      <c r="L152" s="23">
        <f>[2]Base!DZ152</f>
        <v>325</v>
      </c>
      <c r="M152" s="24">
        <f>[2]Base!AO152</f>
        <v>2035409886.52</v>
      </c>
      <c r="N152" s="24">
        <f>[2]Base!AP152</f>
        <v>0</v>
      </c>
      <c r="O152" s="24">
        <f>[2]Base!AQ152</f>
        <v>2035409886.52</v>
      </c>
      <c r="P152" s="24">
        <f>+[2]Base!ED152</f>
        <v>1133617313.5728209</v>
      </c>
      <c r="Q152" s="157">
        <f>'[1]SITE (Imprensa)_PT'!P152</f>
        <v>2.1324128581503527E-2</v>
      </c>
      <c r="R152" s="157">
        <f>'[1]SITE (Imprensa)_PT'!Q152</f>
        <v>8.8957495167413941E-2</v>
      </c>
      <c r="S152" s="157">
        <f>'[1]SITE (Imprensa)_PT'!R152</f>
        <v>0.71427266382375398</v>
      </c>
      <c r="T152" s="158">
        <f>'[1]SITE (Imprensa)_PT'!S152</f>
        <v>0.17544571242732848</v>
      </c>
      <c r="U152" s="6"/>
    </row>
    <row r="153" spans="2:21" ht="13.2" x14ac:dyDescent="0.25">
      <c r="B153" s="40" t="str">
        <f>[2]Base!A153</f>
        <v>PERDIGAO S/A</v>
      </c>
      <c r="C153" s="41" t="str">
        <f>[2]Base!C153</f>
        <v>NM</v>
      </c>
      <c r="D153" s="19" t="s">
        <v>86</v>
      </c>
      <c r="E153" s="19" t="str">
        <f>[2]Base!M153</f>
        <v>Credit Suisse</v>
      </c>
      <c r="F153" s="19" t="str">
        <f>[2]Base!F153</f>
        <v>FOLLOW-ON</v>
      </c>
      <c r="G153" s="19" t="str">
        <f>[2]Base!G153</f>
        <v>ICVM 400</v>
      </c>
      <c r="H153" s="20">
        <f>[2]Base!X153</f>
        <v>39428</v>
      </c>
      <c r="I153" s="21">
        <f>[2]Base!W153</f>
        <v>45</v>
      </c>
      <c r="J153" s="22">
        <f>[2]Base!J153</f>
        <v>39430</v>
      </c>
      <c r="K153" s="23">
        <f>'[1]SITE (Imprensa)_PT'!K153</f>
        <v>13888</v>
      </c>
      <c r="L153" s="23">
        <f>[2]Base!DZ153</f>
        <v>14688</v>
      </c>
      <c r="M153" s="24">
        <f>[2]Base!AO153</f>
        <v>933489000</v>
      </c>
      <c r="N153" s="24">
        <f>[2]Base!AP153</f>
        <v>0</v>
      </c>
      <c r="O153" s="24">
        <f>[2]Base!AQ153</f>
        <v>933489000</v>
      </c>
      <c r="P153" s="24">
        <f>+[2]Base!ED153</f>
        <v>519904761.90476185</v>
      </c>
      <c r="Q153" s="157">
        <f>'[1]SITE (Imprensa)_PT'!P153</f>
        <v>9.8723608695652179E-2</v>
      </c>
      <c r="R153" s="157">
        <f>'[1]SITE (Imprensa)_PT'!Q153</f>
        <v>0.5772429130434783</v>
      </c>
      <c r="S153" s="157">
        <f>'[1]SITE (Imprensa)_PT'!R153</f>
        <v>0.26474652173913044</v>
      </c>
      <c r="T153" s="158">
        <f>'[1]SITE (Imprensa)_PT'!S153</f>
        <v>5.9286956521739133E-2</v>
      </c>
      <c r="U153" s="6"/>
    </row>
    <row r="154" spans="2:21" ht="13.2" x14ac:dyDescent="0.25">
      <c r="B154" s="40" t="str">
        <f>[2]Base!A154</f>
        <v>BRASIL</v>
      </c>
      <c r="C154" s="41" t="str">
        <f>[2]Base!C154</f>
        <v>NM</v>
      </c>
      <c r="D154" s="19" t="s">
        <v>67</v>
      </c>
      <c r="E154" s="19" t="str">
        <f>[2]Base!M154</f>
        <v>BB Investimentos</v>
      </c>
      <c r="F154" s="19" t="str">
        <f>[2]Base!F154</f>
        <v>FOLLOW-ON</v>
      </c>
      <c r="G154" s="19" t="str">
        <f>[2]Base!G154</f>
        <v>ICVM 400</v>
      </c>
      <c r="H154" s="20">
        <f>[2]Base!X154</f>
        <v>39429</v>
      </c>
      <c r="I154" s="21">
        <f>[2]Base!W154</f>
        <v>29.25</v>
      </c>
      <c r="J154" s="22">
        <f>[2]Base!J154</f>
        <v>39433</v>
      </c>
      <c r="K154" s="23">
        <f>'[1]SITE (Imprensa)_PT'!K154</f>
        <v>115013</v>
      </c>
      <c r="L154" s="23">
        <f>[2]Base!DZ154</f>
        <v>122023</v>
      </c>
      <c r="M154" s="24">
        <f>[2]Base!AO154</f>
        <v>0</v>
      </c>
      <c r="N154" s="24">
        <f>[2]Base!AP154</f>
        <v>3443996702.25</v>
      </c>
      <c r="O154" s="24">
        <f>[2]Base!AQ154</f>
        <v>3443996702.25</v>
      </c>
      <c r="P154" s="24">
        <f>+[2]Base!ED154</f>
        <v>1900765330.4542193</v>
      </c>
      <c r="Q154" s="157">
        <f>'[1]SITE (Imprensa)_PT'!P154</f>
        <v>0.36502331250163439</v>
      </c>
      <c r="R154" s="157">
        <f>'[1]SITE (Imprensa)_PT'!Q154</f>
        <v>0.17009455224428272</v>
      </c>
      <c r="S154" s="157">
        <f>'[1]SITE (Imprensa)_PT'!R154</f>
        <v>0.43541776840852087</v>
      </c>
      <c r="T154" s="158">
        <f>'[1]SITE (Imprensa)_PT'!S154</f>
        <v>2.9464366845562071E-2</v>
      </c>
      <c r="U154" s="6"/>
    </row>
    <row r="155" spans="2:21" ht="13.8" thickBot="1" x14ac:dyDescent="0.3">
      <c r="B155" s="30" t="str">
        <f>[2]Base!A155</f>
        <v>TEMPO PART</v>
      </c>
      <c r="C155" s="31" t="str">
        <f>[2]Base!C155</f>
        <v>NM</v>
      </c>
      <c r="D155" s="31" t="s">
        <v>63</v>
      </c>
      <c r="E155" s="31" t="str">
        <f>[2]Base!M155</f>
        <v>UBS</v>
      </c>
      <c r="F155" s="31" t="str">
        <f>[2]Base!F155</f>
        <v>IPO</v>
      </c>
      <c r="G155" s="31" t="str">
        <f>[2]Base!G155</f>
        <v>ICVM 400</v>
      </c>
      <c r="H155" s="32">
        <f>[2]Base!X155</f>
        <v>39433</v>
      </c>
      <c r="I155" s="33">
        <f>[2]Base!W155</f>
        <v>7</v>
      </c>
      <c r="J155" s="34">
        <f>[2]Base!J155</f>
        <v>39435</v>
      </c>
      <c r="K155" s="35">
        <f>'[1]SITE (Imprensa)_PT'!K155</f>
        <v>3791</v>
      </c>
      <c r="L155" s="35">
        <f>[2]Base!DZ155</f>
        <v>3938</v>
      </c>
      <c r="M155" s="36">
        <f>[2]Base!AO155</f>
        <v>393750000</v>
      </c>
      <c r="N155" s="36">
        <f>[2]Base!AP155</f>
        <v>26045600</v>
      </c>
      <c r="O155" s="36">
        <f>[2]Base!AQ155</f>
        <v>419795600</v>
      </c>
      <c r="P155" s="36">
        <f>+[2]Base!ED155</f>
        <v>233025589.78628919</v>
      </c>
      <c r="Q155" s="159">
        <f>'[1]SITE (Imprensa)_PT'!P155</f>
        <v>8.6450086956521732E-2</v>
      </c>
      <c r="R155" s="159">
        <f>'[1]SITE (Imprensa)_PT'!Q155</f>
        <v>6.7374716908212562E-2</v>
      </c>
      <c r="S155" s="159">
        <f>'[1]SITE (Imprensa)_PT'!R155</f>
        <v>0.83723370048309176</v>
      </c>
      <c r="T155" s="160">
        <f>'[1]SITE (Imprensa)_PT'!S155</f>
        <v>8.9414956521739128E-3</v>
      </c>
      <c r="U155" s="6"/>
    </row>
    <row r="156" spans="2:21" ht="13.8" thickTop="1" x14ac:dyDescent="0.25">
      <c r="B156" s="40" t="str">
        <f>[2]Base!A156</f>
        <v>NUTRIPLANT</v>
      </c>
      <c r="C156" s="41" t="str">
        <f>[2]Base!C156</f>
        <v>MA</v>
      </c>
      <c r="D156" s="165" t="s">
        <v>94</v>
      </c>
      <c r="E156" s="165" t="str">
        <f>[2]Base!M156</f>
        <v>HSBC</v>
      </c>
      <c r="F156" s="166" t="str">
        <f>[2]Base!F156</f>
        <v>IPO</v>
      </c>
      <c r="G156" s="2" t="str">
        <f>[2]Base!G156</f>
        <v>ICVM 400</v>
      </c>
      <c r="H156" s="42">
        <f>[2]Base!X156</f>
        <v>39489</v>
      </c>
      <c r="I156" s="43">
        <f>[2]Base!W156</f>
        <v>10</v>
      </c>
      <c r="J156" s="167">
        <f>[2]Base!J156</f>
        <v>39491</v>
      </c>
      <c r="K156" s="168">
        <f>'[1]SITE (Imprensa)_PT'!K156</f>
        <v>1</v>
      </c>
      <c r="L156" s="168">
        <f>[2]Base!DZ156</f>
        <v>8</v>
      </c>
      <c r="M156" s="169">
        <f>[2]Base!AO156</f>
        <v>20701000</v>
      </c>
      <c r="N156" s="169">
        <f>[2]Base!AP156</f>
        <v>0</v>
      </c>
      <c r="O156" s="169">
        <f>[2]Base!AQ156</f>
        <v>20701000</v>
      </c>
      <c r="P156" s="169">
        <f>+[2]Base!ED156</f>
        <v>11859639.071899168</v>
      </c>
      <c r="Q156" s="161">
        <f>'[1]SITE (Imprensa)_PT'!P156</f>
        <v>0.36713202260760347</v>
      </c>
      <c r="R156" s="161">
        <f>'[1]SITE (Imprensa)_PT'!Q156</f>
        <v>0.25607458576880343</v>
      </c>
      <c r="S156" s="161">
        <f>'[1]SITE (Imprensa)_PT'!R156</f>
        <v>0.10627505917588523</v>
      </c>
      <c r="T156" s="162">
        <f>'[1]SITE (Imprensa)_PT'!S156</f>
        <v>0.27051833244770784</v>
      </c>
      <c r="U156" s="6"/>
    </row>
    <row r="157" spans="2:21" ht="13.2" x14ac:dyDescent="0.25">
      <c r="B157" s="40" t="str">
        <f>[2]Base!A157</f>
        <v>GP INVEST ¹</v>
      </c>
      <c r="C157" s="41" t="str">
        <f>[2]Base!C157</f>
        <v>BDR</v>
      </c>
      <c r="D157" s="170" t="s">
        <v>70</v>
      </c>
      <c r="E157" s="170" t="str">
        <f>[2]Base!M157</f>
        <v>Credit Suisse</v>
      </c>
      <c r="F157" s="170" t="str">
        <f>[2]Base!F157</f>
        <v>FOLLOW-ON</v>
      </c>
      <c r="G157" s="19" t="str">
        <f>[2]Base!G157</f>
        <v>ICVM 400</v>
      </c>
      <c r="H157" s="20">
        <f>[2]Base!X157</f>
        <v>39500</v>
      </c>
      <c r="I157" s="21">
        <f>[2]Base!W157</f>
        <v>59</v>
      </c>
      <c r="J157" s="171">
        <f>[2]Base!J157</f>
        <v>39504</v>
      </c>
      <c r="K157" s="172">
        <f>'[1]SITE (Imprensa)_PT'!K157</f>
        <v>48</v>
      </c>
      <c r="L157" s="172">
        <f>[2]Base!DZ157</f>
        <v>159</v>
      </c>
      <c r="M157" s="173">
        <f>[2]Base!AO157</f>
        <v>366707007</v>
      </c>
      <c r="N157" s="173">
        <f>[2]Base!AP157</f>
        <v>0</v>
      </c>
      <c r="O157" s="173">
        <f>[2]Base!AQ157</f>
        <v>366707007</v>
      </c>
      <c r="P157" s="173">
        <f>+[2]Base!ED157</f>
        <v>217269230.35904729</v>
      </c>
      <c r="Q157" s="157">
        <f>'[1]SITE (Imprensa)_PT'!P157</f>
        <v>4.974906574392237E-2</v>
      </c>
      <c r="R157" s="157">
        <f>'[1]SITE (Imprensa)_PT'!Q157</f>
        <v>6.8729101214038163E-2</v>
      </c>
      <c r="S157" s="157">
        <f>'[1]SITE (Imprensa)_PT'!R157</f>
        <v>0.87732256776866002</v>
      </c>
      <c r="T157" s="158">
        <f>'[1]SITE (Imprensa)_PT'!S157</f>
        <v>4.1992652733794092E-3</v>
      </c>
      <c r="U157" s="6"/>
    </row>
    <row r="158" spans="2:21" ht="13.2" x14ac:dyDescent="0.25">
      <c r="B158" s="40" t="str">
        <f>[2]Base!A158</f>
        <v>REDECARD</v>
      </c>
      <c r="C158" s="41" t="str">
        <f>[2]Base!C158</f>
        <v>NM</v>
      </c>
      <c r="D158" s="170" t="s">
        <v>104</v>
      </c>
      <c r="E158" s="170" t="str">
        <f>[2]Base!M158</f>
        <v>Citi</v>
      </c>
      <c r="F158" s="170" t="str">
        <f>[2]Base!F158</f>
        <v>FOLLOW-ON</v>
      </c>
      <c r="G158" s="19" t="str">
        <f>[2]Base!G158</f>
        <v>ICVM 400</v>
      </c>
      <c r="H158" s="20">
        <f>[2]Base!X158</f>
        <v>39519</v>
      </c>
      <c r="I158" s="21">
        <f>[2]Base!W158</f>
        <v>26</v>
      </c>
      <c r="J158" s="171">
        <f>[2]Base!J158</f>
        <v>39521</v>
      </c>
      <c r="K158" s="172">
        <f>'[1]SITE (Imprensa)_PT'!K158</f>
        <v>7218</v>
      </c>
      <c r="L158" s="172">
        <f>[2]Base!DZ158</f>
        <v>7714</v>
      </c>
      <c r="M158" s="173">
        <f>[2]Base!AO158</f>
        <v>0</v>
      </c>
      <c r="N158" s="173">
        <f>[2]Base!AP158</f>
        <v>1216703202</v>
      </c>
      <c r="O158" s="173">
        <f>[2]Base!AQ158</f>
        <v>1216703202</v>
      </c>
      <c r="P158" s="173">
        <f>+[2]Base!ED158</f>
        <v>718115565.13014233</v>
      </c>
      <c r="Q158" s="157">
        <f>'[1]SITE (Imprensa)_PT'!P158</f>
        <v>8.1552876524771403E-2</v>
      </c>
      <c r="R158" s="157">
        <f>'[1]SITE (Imprensa)_PT'!Q158</f>
        <v>0.12009384849140883</v>
      </c>
      <c r="S158" s="157">
        <f>'[1]SITE (Imprensa)_PT'!R158</f>
        <v>0.79656163673020397</v>
      </c>
      <c r="T158" s="158">
        <f>'[1]SITE (Imprensa)_PT'!S158</f>
        <v>1.7916382536157737E-3</v>
      </c>
      <c r="U158" s="6"/>
    </row>
    <row r="159" spans="2:21" ht="13.2" x14ac:dyDescent="0.25">
      <c r="B159" s="40" t="str">
        <f>[2]Base!A159</f>
        <v>HYPERMARCAS</v>
      </c>
      <c r="C159" s="41" t="str">
        <f>[2]Base!C159</f>
        <v>NM</v>
      </c>
      <c r="D159" s="170" t="s">
        <v>69</v>
      </c>
      <c r="E159" s="170" t="str">
        <f>[2]Base!M159</f>
        <v>Citi</v>
      </c>
      <c r="F159" s="170" t="str">
        <f>[2]Base!F159</f>
        <v>IPO</v>
      </c>
      <c r="G159" s="19" t="str">
        <f>[2]Base!G159</f>
        <v>ICVM 400</v>
      </c>
      <c r="H159" s="20">
        <f>[2]Base!X159</f>
        <v>39554</v>
      </c>
      <c r="I159" s="21">
        <f>[2]Base!W159</f>
        <v>17</v>
      </c>
      <c r="J159" s="171">
        <f>[2]Base!J159</f>
        <v>39556</v>
      </c>
      <c r="K159" s="172">
        <f>'[1]SITE (Imprensa)_PT'!K159</f>
        <v>12933</v>
      </c>
      <c r="L159" s="172">
        <f>[2]Base!DZ159</f>
        <v>13465</v>
      </c>
      <c r="M159" s="173">
        <f>[2]Base!AO159</f>
        <v>612390099</v>
      </c>
      <c r="N159" s="173">
        <f>[2]Base!AP159</f>
        <v>0</v>
      </c>
      <c r="O159" s="173">
        <f>[2]Base!AQ159</f>
        <v>612390099</v>
      </c>
      <c r="P159" s="173">
        <f>+[2]Base!ED159</f>
        <v>366700658.08383232</v>
      </c>
      <c r="Q159" s="157">
        <f>'[1]SITE (Imprensa)_PT'!P159</f>
        <v>9.8651726334894788E-2</v>
      </c>
      <c r="R159" s="157">
        <f>'[1]SITE (Imprensa)_PT'!Q159</f>
        <v>1.5599772666556249E-2</v>
      </c>
      <c r="S159" s="157">
        <f>'[1]SITE (Imprensa)_PT'!R159</f>
        <v>0.85081234252812543</v>
      </c>
      <c r="T159" s="158">
        <f>'[1]SITE (Imprensa)_PT'!S159</f>
        <v>3.4936158470423563E-2</v>
      </c>
      <c r="U159" s="6"/>
    </row>
    <row r="160" spans="2:21" ht="13.2" x14ac:dyDescent="0.25">
      <c r="B160" s="40" t="str">
        <f>[2]Base!A160</f>
        <v>ANHANGUERA</v>
      </c>
      <c r="C160" s="41" t="str">
        <f>[2]Base!C160</f>
        <v>N2</v>
      </c>
      <c r="D160" s="170" t="s">
        <v>93</v>
      </c>
      <c r="E160" s="170" t="str">
        <f>[2]Base!M160</f>
        <v>Credit Suisse</v>
      </c>
      <c r="F160" s="170" t="str">
        <f>[2]Base!F160</f>
        <v>FOLLOW-ON</v>
      </c>
      <c r="G160" s="19" t="str">
        <f>[2]Base!G160</f>
        <v>ICVM 400</v>
      </c>
      <c r="H160" s="20">
        <f>[2]Base!X160</f>
        <v>39560</v>
      </c>
      <c r="I160" s="21">
        <f>[2]Base!W160</f>
        <v>26</v>
      </c>
      <c r="J160" s="171">
        <f>[2]Base!J160</f>
        <v>39561</v>
      </c>
      <c r="K160" s="172">
        <f>'[1]SITE (Imprensa)_PT'!K160</f>
        <v>1064</v>
      </c>
      <c r="L160" s="172">
        <f>[2]Base!DZ160</f>
        <v>1207</v>
      </c>
      <c r="M160" s="173">
        <f>[2]Base!AO160</f>
        <v>508300000</v>
      </c>
      <c r="N160" s="173">
        <f>[2]Base!AP160</f>
        <v>0</v>
      </c>
      <c r="O160" s="173">
        <f>[2]Base!AQ160</f>
        <v>508300000</v>
      </c>
      <c r="P160" s="173">
        <f>+[2]Base!ED160</f>
        <v>304371257.48502994</v>
      </c>
      <c r="Q160" s="157">
        <f>'[1]SITE (Imprensa)_PT'!P160</f>
        <v>3.9412327365728902E-2</v>
      </c>
      <c r="R160" s="157">
        <f>'[1]SITE (Imprensa)_PT'!Q160</f>
        <v>7.6726342710997447E-4</v>
      </c>
      <c r="S160" s="157">
        <f>'[1]SITE (Imprensa)_PT'!R160</f>
        <v>0.9575172890025575</v>
      </c>
      <c r="T160" s="158">
        <f>'[1]SITE (Imprensa)_PT'!S160</f>
        <v>2.3031202046035807E-3</v>
      </c>
      <c r="U160" s="6"/>
    </row>
    <row r="161" spans="2:21" ht="13.2" x14ac:dyDescent="0.25">
      <c r="B161" s="40" t="str">
        <f>[2]Base!A161</f>
        <v>COPASA</v>
      </c>
      <c r="C161" s="41" t="str">
        <f>[2]Base!C161</f>
        <v>NM</v>
      </c>
      <c r="D161" s="170" t="s">
        <v>62</v>
      </c>
      <c r="E161" s="170" t="str">
        <f>[2]Base!M161</f>
        <v>BB Investimentos</v>
      </c>
      <c r="F161" s="170" t="str">
        <f>[2]Base!F161</f>
        <v>FOLLOW-ON</v>
      </c>
      <c r="G161" s="19" t="str">
        <f>[2]Base!G161</f>
        <v>ICVM 400</v>
      </c>
      <c r="H161" s="20">
        <f>[2]Base!X161</f>
        <v>39561</v>
      </c>
      <c r="I161" s="21">
        <f>[2]Base!W161</f>
        <v>24.5</v>
      </c>
      <c r="J161" s="171">
        <f>[2]Base!J161</f>
        <v>39563</v>
      </c>
      <c r="K161" s="172">
        <f>'[1]SITE (Imprensa)_PT'!K161</f>
        <v>747</v>
      </c>
      <c r="L161" s="172">
        <f>[2]Base!DZ161</f>
        <v>939</v>
      </c>
      <c r="M161" s="173">
        <f>[2]Base!AO161</f>
        <v>0</v>
      </c>
      <c r="N161" s="173">
        <f>[2]Base!AP161</f>
        <v>460024764.5</v>
      </c>
      <c r="O161" s="173">
        <f>[2]Base!AQ161</f>
        <v>460024764.5</v>
      </c>
      <c r="P161" s="173">
        <f>+[2]Base!ED161</f>
        <v>275463930.83832335</v>
      </c>
      <c r="Q161" s="157">
        <f>'[1]SITE (Imprensa)_PT'!P161</f>
        <v>2.434790768747842E-2</v>
      </c>
      <c r="R161" s="157">
        <f>'[1]SITE (Imprensa)_PT'!Q161</f>
        <v>0.20458305348472169</v>
      </c>
      <c r="S161" s="157">
        <f>'[1]SITE (Imprensa)_PT'!R161</f>
        <v>0.77085621985031194</v>
      </c>
      <c r="T161" s="158">
        <f>'[1]SITE (Imprensa)_PT'!S161</f>
        <v>2.1281897748789565E-4</v>
      </c>
      <c r="U161" s="6"/>
    </row>
    <row r="162" spans="2:21" ht="13.2" x14ac:dyDescent="0.25">
      <c r="B162" s="40" t="str">
        <f>[2]Base!A162</f>
        <v>GERDAU</v>
      </c>
      <c r="C162" s="41" t="str">
        <f>[2]Base!C162</f>
        <v>N1</v>
      </c>
      <c r="D162" s="170" t="s">
        <v>65</v>
      </c>
      <c r="E162" s="170" t="str">
        <f>[2]Base!M162</f>
        <v>Itaú BBA</v>
      </c>
      <c r="F162" s="170" t="str">
        <f>[2]Base!F162</f>
        <v>FOLLOW-ON</v>
      </c>
      <c r="G162" s="19" t="str">
        <f>[2]Base!G162</f>
        <v>ICVM 400</v>
      </c>
      <c r="H162" s="20">
        <f>[2]Base!X162</f>
        <v>39562</v>
      </c>
      <c r="I162" s="21">
        <f>[2]Base!W162</f>
        <v>60.3</v>
      </c>
      <c r="J162" s="171">
        <f>[2]Base!J162</f>
        <v>39566</v>
      </c>
      <c r="K162" s="172">
        <f>'[1]SITE (Imprensa)_PT'!K162</f>
        <v>9770</v>
      </c>
      <c r="L162" s="172">
        <f>[2]Base!DZ162</f>
        <v>10800</v>
      </c>
      <c r="M162" s="173">
        <f>[2]Base!AO162</f>
        <v>2900252959.1999998</v>
      </c>
      <c r="N162" s="173">
        <f>[2]Base!AP162</f>
        <v>0</v>
      </c>
      <c r="O162" s="173">
        <f>[2]Base!AQ162</f>
        <v>2900252959.1999998</v>
      </c>
      <c r="P162" s="173">
        <f>+[2]Base!ED162</f>
        <v>1736678418.6826346</v>
      </c>
      <c r="Q162" s="157">
        <f>'[1]SITE (Imprensa)_PT'!P162</f>
        <v>8.6270816863166525E-2</v>
      </c>
      <c r="R162" s="157">
        <f>'[1]SITE (Imprensa)_PT'!Q162</f>
        <v>0.11988496844630683</v>
      </c>
      <c r="S162" s="157">
        <f>'[1]SITE (Imprensa)_PT'!R162</f>
        <v>0.289346850776588</v>
      </c>
      <c r="T162" s="158">
        <f>'[1]SITE (Imprensa)_PT'!S162</f>
        <v>0.50449736391393873</v>
      </c>
      <c r="U162" s="6"/>
    </row>
    <row r="163" spans="2:21" ht="13.2" x14ac:dyDescent="0.25">
      <c r="B163" s="40" t="str">
        <f>[2]Base!A163</f>
        <v>GERDAU MET</v>
      </c>
      <c r="C163" s="41" t="str">
        <f>[2]Base!C163</f>
        <v>N1</v>
      </c>
      <c r="D163" s="174" t="s">
        <v>65</v>
      </c>
      <c r="E163" s="174" t="str">
        <f>[2]Base!M163</f>
        <v>Itaú BBA</v>
      </c>
      <c r="F163" s="174" t="str">
        <f>[2]Base!F163</f>
        <v>FOLLOW-ON</v>
      </c>
      <c r="G163" s="19" t="str">
        <f>[2]Base!G163</f>
        <v>ICVM 400</v>
      </c>
      <c r="H163" s="20">
        <f>[2]Base!X163</f>
        <v>39562</v>
      </c>
      <c r="I163" s="21">
        <f>[2]Base!W163</f>
        <v>78.349999999999994</v>
      </c>
      <c r="J163" s="175">
        <f>[2]Base!J163</f>
        <v>39566</v>
      </c>
      <c r="K163" s="176">
        <f>'[1]SITE (Imprensa)_PT'!K163</f>
        <v>3238</v>
      </c>
      <c r="L163" s="176">
        <f>[2]Base!DZ163</f>
        <v>3907</v>
      </c>
      <c r="M163" s="177">
        <f>[2]Base!AO163</f>
        <v>1505181301.55</v>
      </c>
      <c r="N163" s="177">
        <f>[2]Base!AP163</f>
        <v>0</v>
      </c>
      <c r="O163" s="177">
        <f>[2]Base!AQ163</f>
        <v>1505181301.55</v>
      </c>
      <c r="P163" s="177">
        <f>+[2]Base!ED163</f>
        <v>901306168.59281433</v>
      </c>
      <c r="Q163" s="157">
        <f>'[1]SITE (Imprensa)_PT'!P163</f>
        <v>0.21396582675346351</v>
      </c>
      <c r="R163" s="157">
        <f>'[1]SITE (Imprensa)_PT'!Q163</f>
        <v>0.35649979155163924</v>
      </c>
      <c r="S163" s="157">
        <f>'[1]SITE (Imprensa)_PT'!R163</f>
        <v>0.16128203263620991</v>
      </c>
      <c r="T163" s="158">
        <f>'[1]SITE (Imprensa)_PT'!S163</f>
        <v>0.26825234905868739</v>
      </c>
      <c r="U163" s="6"/>
    </row>
    <row r="164" spans="2:21" ht="13.2" x14ac:dyDescent="0.25">
      <c r="B164" s="40" t="str">
        <f>[2]Base!A164</f>
        <v>LE LIS BLANC</v>
      </c>
      <c r="C164" s="41" t="str">
        <f>[2]Base!C164</f>
        <v>NM</v>
      </c>
      <c r="D164" s="174" t="s">
        <v>109</v>
      </c>
      <c r="E164" s="174" t="str">
        <f>[2]Base!M164</f>
        <v>Merrill Lynch</v>
      </c>
      <c r="F164" s="174" t="str">
        <f>[2]Base!F164</f>
        <v>IPO</v>
      </c>
      <c r="G164" s="19" t="str">
        <f>[2]Base!G164</f>
        <v>ICVM 400</v>
      </c>
      <c r="H164" s="20">
        <f>[2]Base!X164</f>
        <v>39563</v>
      </c>
      <c r="I164" s="21">
        <f>[2]Base!W164</f>
        <v>6.75</v>
      </c>
      <c r="J164" s="175">
        <f>[2]Base!J164</f>
        <v>39567</v>
      </c>
      <c r="K164" s="176">
        <f>'[1]SITE (Imprensa)_PT'!K164</f>
        <v>270</v>
      </c>
      <c r="L164" s="176">
        <f>[2]Base!DZ164</f>
        <v>318</v>
      </c>
      <c r="M164" s="177">
        <f>[2]Base!AO164</f>
        <v>150187500</v>
      </c>
      <c r="N164" s="177">
        <f>[2]Base!AP164</f>
        <v>0</v>
      </c>
      <c r="O164" s="177">
        <f>[2]Base!AQ164</f>
        <v>150187500</v>
      </c>
      <c r="P164" s="177">
        <f>+[2]Base!ED164</f>
        <v>87828947.368421048</v>
      </c>
      <c r="Q164" s="157">
        <f>'[1]SITE (Imprensa)_PT'!P164</f>
        <v>1.1775909156245509E-2</v>
      </c>
      <c r="R164" s="157">
        <f>'[1]SITE (Imprensa)_PT'!Q164</f>
        <v>5.7334541396346413E-3</v>
      </c>
      <c r="S164" s="157">
        <f>'[1]SITE (Imprensa)_PT'!R164</f>
        <v>0.86861830215464819</v>
      </c>
      <c r="T164" s="158">
        <f>'[1]SITE (Imprensa)_PT'!S164</f>
        <v>0.11387233454947164</v>
      </c>
      <c r="U164" s="6"/>
    </row>
    <row r="165" spans="2:21" ht="13.2" x14ac:dyDescent="0.25">
      <c r="B165" s="40" t="str">
        <f>[2]Base!A165</f>
        <v>OGX PETROLEO</v>
      </c>
      <c r="C165" s="41" t="str">
        <f>[2]Base!C165</f>
        <v>NM</v>
      </c>
      <c r="D165" s="170" t="s">
        <v>87</v>
      </c>
      <c r="E165" s="170" t="str">
        <f>[2]Base!M165</f>
        <v>UBS</v>
      </c>
      <c r="F165" s="170" t="str">
        <f>[2]Base!F165</f>
        <v>IPO</v>
      </c>
      <c r="G165" s="19" t="str">
        <f>[2]Base!G165</f>
        <v>ICVM 400</v>
      </c>
      <c r="H165" s="20">
        <f>[2]Base!X165</f>
        <v>39610</v>
      </c>
      <c r="I165" s="21">
        <f>[2]Base!W165</f>
        <v>1131</v>
      </c>
      <c r="J165" s="171">
        <f>[2]Base!J165</f>
        <v>39612</v>
      </c>
      <c r="K165" s="172">
        <f>'[1]SITE (Imprensa)_PT'!K165</f>
        <v>1308</v>
      </c>
      <c r="L165" s="172">
        <f>[2]Base!DZ165</f>
        <v>2560</v>
      </c>
      <c r="M165" s="173">
        <f>[2]Base!AO165</f>
        <v>6711662763</v>
      </c>
      <c r="N165" s="173">
        <f>[2]Base!AP165</f>
        <v>0</v>
      </c>
      <c r="O165" s="173">
        <f>[2]Base!AQ165</f>
        <v>6711662763</v>
      </c>
      <c r="P165" s="173">
        <f>+[2]Base!ED165</f>
        <v>4101480544.4879003</v>
      </c>
      <c r="Q165" s="157">
        <f>'[1]SITE (Imprensa)_PT'!P165</f>
        <v>8.0661270554960987E-2</v>
      </c>
      <c r="R165" s="157">
        <f>'[1]SITE (Imprensa)_PT'!Q165</f>
        <v>8.4198182321575027E-2</v>
      </c>
      <c r="S165" s="157">
        <f>'[1]SITE (Imprensa)_PT'!R165</f>
        <v>0.63463190857582719</v>
      </c>
      <c r="T165" s="158">
        <f>'[1]SITE (Imprensa)_PT'!S165</f>
        <v>0.20050863854763676</v>
      </c>
      <c r="U165" s="6"/>
    </row>
    <row r="166" spans="2:21" ht="13.2" x14ac:dyDescent="0.25">
      <c r="B166" s="178" t="str">
        <f>[2]Base!A166</f>
        <v>SLC AGRICOLA</v>
      </c>
      <c r="C166" s="74" t="str">
        <f>[2]Base!C166</f>
        <v>NM</v>
      </c>
      <c r="D166" s="170" t="s">
        <v>101</v>
      </c>
      <c r="E166" s="170" t="str">
        <f>[2]Base!M166</f>
        <v>Credit Suisse</v>
      </c>
      <c r="F166" s="170" t="str">
        <f>[2]Base!F166</f>
        <v>FOLLOW-ON</v>
      </c>
      <c r="G166" s="19" t="str">
        <f>[2]Base!G166</f>
        <v>ICVM 400</v>
      </c>
      <c r="H166" s="20">
        <f>[2]Base!X166</f>
        <v>39624</v>
      </c>
      <c r="I166" s="21">
        <f>[2]Base!W166</f>
        <v>27.5</v>
      </c>
      <c r="J166" s="171">
        <f>[2]Base!J166</f>
        <v>39626</v>
      </c>
      <c r="K166" s="172">
        <f>'[1]SITE (Imprensa)_PT'!K166</f>
        <v>2860</v>
      </c>
      <c r="L166" s="172">
        <f>[2]Base!DZ166</f>
        <v>3076</v>
      </c>
      <c r="M166" s="173">
        <f>[2]Base!AO166</f>
        <v>258431250</v>
      </c>
      <c r="N166" s="173">
        <f>[2]Base!AP166</f>
        <v>110756222.5</v>
      </c>
      <c r="O166" s="173">
        <f>[2]Base!AQ166</f>
        <v>369187472.5</v>
      </c>
      <c r="P166" s="173">
        <f>+[2]Base!ED166</f>
        <v>229308989.13043478</v>
      </c>
      <c r="Q166" s="157">
        <f>'[1]SITE (Imprensa)_PT'!P166</f>
        <v>8.4590918777722068E-2</v>
      </c>
      <c r="R166" s="157">
        <f>'[1]SITE (Imprensa)_PT'!Q166</f>
        <v>0.11771352832130565</v>
      </c>
      <c r="S166" s="157">
        <f>'[1]SITE (Imprensa)_PT'!R166</f>
        <v>0.78270396891649674</v>
      </c>
      <c r="T166" s="158">
        <f>'[1]SITE (Imprensa)_PT'!S166</f>
        <v>1.499158398447553E-2</v>
      </c>
      <c r="U166" s="6"/>
    </row>
    <row r="167" spans="2:21" ht="13.8" thickBot="1" x14ac:dyDescent="0.3">
      <c r="B167" s="30" t="str">
        <f>[2]Base!A167</f>
        <v>VALE R DOCE</v>
      </c>
      <c r="C167" s="31" t="str">
        <f>[2]Base!C167</f>
        <v>N1</v>
      </c>
      <c r="D167" s="31" t="s">
        <v>83</v>
      </c>
      <c r="E167" s="179" t="str">
        <f>[2]Base!M167</f>
        <v>Credit Suisse</v>
      </c>
      <c r="F167" s="180" t="str">
        <f>[2]Base!F167</f>
        <v>FOLLOW-ON</v>
      </c>
      <c r="G167" s="179" t="str">
        <f>[2]Base!G167</f>
        <v>ICVM 400</v>
      </c>
      <c r="H167" s="32">
        <f>[2]Base!X167</f>
        <v>39645</v>
      </c>
      <c r="I167" s="33">
        <f>[2]Base!W167</f>
        <v>43.575402645544614</v>
      </c>
      <c r="J167" s="181">
        <f>[2]Base!J167</f>
        <v>39647</v>
      </c>
      <c r="K167" s="182">
        <f>'[1]SITE (Imprensa)_PT'!K167</f>
        <v>29608</v>
      </c>
      <c r="L167" s="182">
        <f>[2]Base!DZ167</f>
        <v>32392</v>
      </c>
      <c r="M167" s="183">
        <f>[2]Base!AO167</f>
        <v>19434193128.68</v>
      </c>
      <c r="N167" s="183">
        <f>[2]Base!AP167</f>
        <v>0</v>
      </c>
      <c r="O167" s="183">
        <f>[2]Base!AQ167</f>
        <v>19434193128.68</v>
      </c>
      <c r="P167" s="183">
        <f>+[2]Base!ED167</f>
        <v>12222762974.012579</v>
      </c>
      <c r="Q167" s="159">
        <f>'[1]SITE (Imprensa)_PT'!P167</f>
        <v>4.5506017462490819E-2</v>
      </c>
      <c r="R167" s="159">
        <f>'[1]SITE (Imprensa)_PT'!Q167</f>
        <v>0.14192265358138625</v>
      </c>
      <c r="S167" s="159">
        <f>'[1]SITE (Imprensa)_PT'!R167</f>
        <v>0.39360010380860933</v>
      </c>
      <c r="T167" s="160">
        <f>'[1]SITE (Imprensa)_PT'!S167</f>
        <v>0.41897122514751362</v>
      </c>
      <c r="U167" s="6"/>
    </row>
    <row r="168" spans="2:21" ht="13.8" thickTop="1" x14ac:dyDescent="0.25">
      <c r="B168" s="40" t="str">
        <f>[2]Base!A168</f>
        <v>REDECARD</v>
      </c>
      <c r="C168" s="41" t="str">
        <f>[2]Base!C168</f>
        <v>NM</v>
      </c>
      <c r="D168" s="165" t="s">
        <v>104</v>
      </c>
      <c r="E168" s="165" t="str">
        <f>[2]Base!M168</f>
        <v>Citi</v>
      </c>
      <c r="F168" s="166" t="str">
        <f>[2]Base!F168</f>
        <v>FOLLOW-ON</v>
      </c>
      <c r="G168" s="2" t="str">
        <f>[2]Base!G168</f>
        <v>ICVM 400</v>
      </c>
      <c r="H168" s="42">
        <f>[2]Base!X168</f>
        <v>39896</v>
      </c>
      <c r="I168" s="43">
        <f>[2]Base!W168</f>
        <v>24.5</v>
      </c>
      <c r="J168" s="184">
        <f>[2]Base!J168</f>
        <v>39898</v>
      </c>
      <c r="K168" s="185">
        <f>'[1]SITE (Imprensa)_PT'!K168</f>
        <v>2604</v>
      </c>
      <c r="L168" s="185">
        <f>[2]Base!DZ168</f>
        <v>3435</v>
      </c>
      <c r="M168" s="186">
        <f>[2]Base!AO168</f>
        <v>0</v>
      </c>
      <c r="N168" s="186">
        <f>[2]Base!AP168</f>
        <v>2212895370</v>
      </c>
      <c r="O168" s="186">
        <f>[2]Base!AQ168</f>
        <v>2212895370</v>
      </c>
      <c r="P168" s="186">
        <f>+[2]Base!ED168</f>
        <v>989003517.31843579</v>
      </c>
      <c r="Q168" s="161">
        <f>'[1]SITE (Imprensa)_PT'!P168</f>
        <v>4.2549046049113477E-2</v>
      </c>
      <c r="R168" s="161">
        <f>'[1]SITE (Imprensa)_PT'!Q168</f>
        <v>8.1236895533836284E-2</v>
      </c>
      <c r="S168" s="161">
        <f>'[1]SITE (Imprensa)_PT'!R168</f>
        <v>0.87399881269578505</v>
      </c>
      <c r="T168" s="162">
        <f>'[1]SITE (Imprensa)_PT'!S168</f>
        <v>2.2152457212651676E-3</v>
      </c>
      <c r="U168" s="6"/>
    </row>
    <row r="169" spans="2:21" ht="13.2" x14ac:dyDescent="0.25">
      <c r="B169" s="40" t="str">
        <f>[2]Base!A169</f>
        <v>MRV</v>
      </c>
      <c r="C169" s="41" t="str">
        <f>[2]Base!C169</f>
        <v>NM</v>
      </c>
      <c r="D169" s="19" t="s">
        <v>77</v>
      </c>
      <c r="E169" s="2" t="str">
        <f>[2]Base!M169</f>
        <v>UBS</v>
      </c>
      <c r="F169" s="170" t="str">
        <f>[2]Base!F169</f>
        <v>FOLLOW-ON</v>
      </c>
      <c r="G169" s="19" t="str">
        <f>[2]Base!G169</f>
        <v>ICVM 400</v>
      </c>
      <c r="H169" s="20">
        <f>[2]Base!X169</f>
        <v>39987</v>
      </c>
      <c r="I169" s="187">
        <f>[2]Base!W169</f>
        <v>24.5</v>
      </c>
      <c r="J169" s="188">
        <f>[2]Base!J169</f>
        <v>39989</v>
      </c>
      <c r="K169" s="189">
        <f>'[1]SITE (Imprensa)_PT'!K169</f>
        <v>1310</v>
      </c>
      <c r="L169" s="189">
        <f>[2]Base!DZ169</f>
        <v>1880</v>
      </c>
      <c r="M169" s="190">
        <f>[2]Base!AO169</f>
        <v>595350000</v>
      </c>
      <c r="N169" s="190">
        <f>[2]Base!AP169</f>
        <v>126787500</v>
      </c>
      <c r="O169" s="190">
        <f>[2]Base!AQ169</f>
        <v>722137500</v>
      </c>
      <c r="P169" s="190">
        <f>+[2]Base!ED169</f>
        <v>366567258.88324875</v>
      </c>
      <c r="Q169" s="191">
        <f>'[1]SITE (Imprensa)_PT'!P169</f>
        <v>6.569669211195929E-2</v>
      </c>
      <c r="R169" s="157">
        <f>'[1]SITE (Imprensa)_PT'!Q169</f>
        <v>0.2333591518235793</v>
      </c>
      <c r="S169" s="157">
        <f>'[1]SITE (Imprensa)_PT'!R169</f>
        <v>0.70026388464800682</v>
      </c>
      <c r="T169" s="158">
        <f>'[1]SITE (Imprensa)_PT'!S169</f>
        <v>6.8027141645462261E-4</v>
      </c>
      <c r="U169" s="6"/>
    </row>
    <row r="170" spans="2:21" ht="13.2" x14ac:dyDescent="0.25">
      <c r="B170" s="40" t="str">
        <f>[2]Base!A170</f>
        <v>VISANET</v>
      </c>
      <c r="C170" s="41" t="str">
        <f>[2]Base!C170</f>
        <v>NM</v>
      </c>
      <c r="D170" s="19" t="s">
        <v>104</v>
      </c>
      <c r="E170" s="2" t="str">
        <f>[2]Base!M170</f>
        <v>Bradesco BBI</v>
      </c>
      <c r="F170" s="170" t="str">
        <f>[2]Base!F170</f>
        <v>IPO</v>
      </c>
      <c r="G170" s="19" t="str">
        <f>[2]Base!G170</f>
        <v>ICVM 400</v>
      </c>
      <c r="H170" s="20">
        <f>[2]Base!X170</f>
        <v>39989</v>
      </c>
      <c r="I170" s="187">
        <f>[2]Base!W170</f>
        <v>15</v>
      </c>
      <c r="J170" s="188">
        <f>[2]Base!J170</f>
        <v>39993</v>
      </c>
      <c r="K170" s="189">
        <f>'[1]SITE (Imprensa)_PT'!K170</f>
        <v>49037</v>
      </c>
      <c r="L170" s="189">
        <f>[2]Base!DZ170</f>
        <v>52943</v>
      </c>
      <c r="M170" s="190">
        <f>[2]Base!AO170</f>
        <v>0</v>
      </c>
      <c r="N170" s="190">
        <f>[2]Base!AP170</f>
        <v>8397208920</v>
      </c>
      <c r="O170" s="190">
        <f>[2]Base!AQ170</f>
        <v>8397208920</v>
      </c>
      <c r="P170" s="190">
        <f>+[2]Base!ED170</f>
        <v>4309133740.4423456</v>
      </c>
      <c r="Q170" s="191">
        <f>'[1]SITE (Imprensa)_PT'!P170</f>
        <v>8.0373646937916127E-2</v>
      </c>
      <c r="R170" s="157">
        <f>'[1]SITE (Imprensa)_PT'!Q170</f>
        <v>0.14649857193263688</v>
      </c>
      <c r="S170" s="157">
        <f>'[1]SITE (Imprensa)_PT'!R170</f>
        <v>0.56537766241500154</v>
      </c>
      <c r="T170" s="158">
        <f>'[1]SITE (Imprensa)_PT'!S170</f>
        <v>0.20775011871444543</v>
      </c>
      <c r="U170" s="6"/>
    </row>
    <row r="171" spans="2:21" ht="13.2" x14ac:dyDescent="0.25">
      <c r="B171" s="40" t="str">
        <f>[2]Base!A171</f>
        <v>BR MALLS PAR</v>
      </c>
      <c r="C171" s="41" t="str">
        <f>[2]Base!C171</f>
        <v>NM</v>
      </c>
      <c r="D171" s="19" t="s">
        <v>82</v>
      </c>
      <c r="E171" s="2" t="str">
        <f>[2]Base!M171</f>
        <v>Itaú BBA</v>
      </c>
      <c r="F171" s="170" t="str">
        <f>[2]Base!F171</f>
        <v>FOLLOW-ON</v>
      </c>
      <c r="G171" s="19" t="str">
        <f>[2]Base!G171</f>
        <v>ICVM 400</v>
      </c>
      <c r="H171" s="20">
        <f>[2]Base!X171</f>
        <v>39995</v>
      </c>
      <c r="I171" s="187">
        <f>[2]Base!W171</f>
        <v>15</v>
      </c>
      <c r="J171" s="188">
        <f>[2]Base!J171</f>
        <v>39997</v>
      </c>
      <c r="K171" s="189">
        <f>'[1]SITE (Imprensa)_PT'!K171</f>
        <v>2716</v>
      </c>
      <c r="L171" s="189">
        <f>[2]Base!DZ171</f>
        <v>3397</v>
      </c>
      <c r="M171" s="190">
        <f>[2]Base!AO171</f>
        <v>454270140</v>
      </c>
      <c r="N171" s="190">
        <f>[2]Base!AP171</f>
        <v>381586905</v>
      </c>
      <c r="O171" s="190">
        <f>[2]Base!AQ171</f>
        <v>835857045</v>
      </c>
      <c r="P171" s="190">
        <f>+[2]Base!ED171</f>
        <v>429216927.69846976</v>
      </c>
      <c r="Q171" s="191">
        <f>'[1]SITE (Imprensa)_PT'!P171</f>
        <v>8.4659440777938286E-2</v>
      </c>
      <c r="R171" s="157">
        <f>'[1]SITE (Imprensa)_PT'!Q171</f>
        <v>0.12190266339144154</v>
      </c>
      <c r="S171" s="157">
        <f>'[1]SITE (Imprensa)_PT'!R171</f>
        <v>0.78959991298512056</v>
      </c>
      <c r="T171" s="158">
        <f>'[1]SITE (Imprensa)_PT'!S171</f>
        <v>3.8379828454996154E-3</v>
      </c>
      <c r="U171" s="6"/>
    </row>
    <row r="172" spans="2:21" ht="13.2" x14ac:dyDescent="0.25">
      <c r="B172" s="40" t="str">
        <f>[2]Base!A172</f>
        <v>LIGHT S/A</v>
      </c>
      <c r="C172" s="41" t="str">
        <f>[2]Base!C172</f>
        <v>NM</v>
      </c>
      <c r="D172" s="19" t="s">
        <v>60</v>
      </c>
      <c r="E172" s="2" t="str">
        <f>[2]Base!M172</f>
        <v>Itaú BBA</v>
      </c>
      <c r="F172" s="170" t="str">
        <f>[2]Base!F172</f>
        <v>FOLLOW-ON</v>
      </c>
      <c r="G172" s="19" t="str">
        <f>[2]Base!G172</f>
        <v>ICVM 400</v>
      </c>
      <c r="H172" s="20">
        <f>[2]Base!X172</f>
        <v>40007</v>
      </c>
      <c r="I172" s="187">
        <f>[2]Base!W172</f>
        <v>24</v>
      </c>
      <c r="J172" s="188">
        <f>[2]Base!J172</f>
        <v>40009</v>
      </c>
      <c r="K172" s="189">
        <f>'[1]SITE (Imprensa)_PT'!K172</f>
        <v>4294</v>
      </c>
      <c r="L172" s="189">
        <f>[2]Base!DZ172</f>
        <v>4871</v>
      </c>
      <c r="M172" s="190">
        <f>[2]Base!AO172</f>
        <v>0</v>
      </c>
      <c r="N172" s="190">
        <f>[2]Base!AP172</f>
        <v>772091520</v>
      </c>
      <c r="O172" s="190">
        <f>[2]Base!AQ172</f>
        <v>772091520</v>
      </c>
      <c r="P172" s="190">
        <f>+[2]Base!ED172</f>
        <v>391845066.99147385</v>
      </c>
      <c r="Q172" s="191">
        <f>'[1]SITE (Imprensa)_PT'!P172</f>
        <v>0.18109801283661295</v>
      </c>
      <c r="R172" s="157">
        <f>'[1]SITE (Imprensa)_PT'!Q172</f>
        <v>0.34028286180374057</v>
      </c>
      <c r="S172" s="157">
        <f>'[1]SITE (Imprensa)_PT'!R172</f>
        <v>0.47355159139683339</v>
      </c>
      <c r="T172" s="158">
        <f>'[1]SITE (Imprensa)_PT'!S172</f>
        <v>5.067533962813113E-3</v>
      </c>
      <c r="U172" s="6"/>
    </row>
    <row r="173" spans="2:21" ht="13.2" x14ac:dyDescent="0.25">
      <c r="B173" s="40" t="str">
        <f>[2]Base!A173</f>
        <v>HYPERMARCAS</v>
      </c>
      <c r="C173" s="41" t="str">
        <f>[2]Base!C173</f>
        <v>NM</v>
      </c>
      <c r="D173" s="19" t="s">
        <v>69</v>
      </c>
      <c r="E173" s="2" t="str">
        <f>[2]Base!M173</f>
        <v>Citi</v>
      </c>
      <c r="F173" s="174" t="str">
        <f>[2]Base!F173</f>
        <v>FOLLOW-ON</v>
      </c>
      <c r="G173" s="19" t="str">
        <f>[2]Base!G173</f>
        <v>ICVM 400</v>
      </c>
      <c r="H173" s="20">
        <f>[2]Base!X173</f>
        <v>40008</v>
      </c>
      <c r="I173" s="187">
        <f>[2]Base!W173</f>
        <v>23</v>
      </c>
      <c r="J173" s="188">
        <f>[2]Base!J173</f>
        <v>40010</v>
      </c>
      <c r="K173" s="189">
        <f>'[1]SITE (Imprensa)_PT'!K173</f>
        <v>3899</v>
      </c>
      <c r="L173" s="189">
        <f>[2]Base!DZ173</f>
        <v>4442</v>
      </c>
      <c r="M173" s="190">
        <f>[2]Base!AO173</f>
        <v>563500000</v>
      </c>
      <c r="N173" s="190">
        <f>[2]Base!AP173</f>
        <v>230000000</v>
      </c>
      <c r="O173" s="190">
        <f>[2]Base!AQ173</f>
        <v>793500000</v>
      </c>
      <c r="P173" s="190">
        <f>+[2]Base!ED173</f>
        <v>408599382.0803296</v>
      </c>
      <c r="Q173" s="191">
        <f>'[1]SITE (Imprensa)_PT'!P173</f>
        <v>9.0727797101449278E-2</v>
      </c>
      <c r="R173" s="157">
        <f>'[1]SITE (Imprensa)_PT'!Q173</f>
        <v>0.10778799999999999</v>
      </c>
      <c r="S173" s="157">
        <f>'[1]SITE (Imprensa)_PT'!R173</f>
        <v>0.79804681159420288</v>
      </c>
      <c r="T173" s="158">
        <f>'[1]SITE (Imprensa)_PT'!S173</f>
        <v>3.4373913043478262E-3</v>
      </c>
      <c r="U173" s="6"/>
    </row>
    <row r="174" spans="2:21" ht="13.2" x14ac:dyDescent="0.25">
      <c r="B174" s="40" t="str">
        <f>[2]Base!A174</f>
        <v>BRF FOODS</v>
      </c>
      <c r="C174" s="41" t="str">
        <f>[2]Base!C174</f>
        <v>NM</v>
      </c>
      <c r="D174" s="19" t="s">
        <v>86</v>
      </c>
      <c r="E174" s="2" t="str">
        <f>[2]Base!M174</f>
        <v>UBS</v>
      </c>
      <c r="F174" s="174" t="str">
        <f>[2]Base!F174</f>
        <v>FOLLOW-ON</v>
      </c>
      <c r="G174" s="19" t="str">
        <f>[2]Base!G174</f>
        <v>ICVM 400</v>
      </c>
      <c r="H174" s="20">
        <f>[2]Base!X174</f>
        <v>40015</v>
      </c>
      <c r="I174" s="187">
        <f>[2]Base!W174</f>
        <v>40</v>
      </c>
      <c r="J174" s="188">
        <f>[2]Base!J174</f>
        <v>40017</v>
      </c>
      <c r="K174" s="189">
        <f>'[1]SITE (Imprensa)_PT'!K174</f>
        <v>13211</v>
      </c>
      <c r="L174" s="189">
        <f>[2]Base!DZ174</f>
        <v>14783</v>
      </c>
      <c r="M174" s="190">
        <f>[2]Base!AO174</f>
        <v>5290000000</v>
      </c>
      <c r="N174" s="190">
        <f>[2]Base!AP174</f>
        <v>0</v>
      </c>
      <c r="O174" s="190">
        <f>[2]Base!AQ174</f>
        <v>5290000000</v>
      </c>
      <c r="P174" s="190">
        <f>+[2]Base!ED174</f>
        <v>2779967418.1512427</v>
      </c>
      <c r="Q174" s="191">
        <f>'[1]SITE (Imprensa)_PT'!P174</f>
        <v>5.7905534971644614E-2</v>
      </c>
      <c r="R174" s="157">
        <f>'[1]SITE (Imprensa)_PT'!Q174</f>
        <v>0.21595600756143668</v>
      </c>
      <c r="S174" s="157">
        <f>'[1]SITE (Imprensa)_PT'!R174</f>
        <v>0.31776966351606806</v>
      </c>
      <c r="T174" s="158">
        <f>'[1]SITE (Imprensa)_PT'!S174</f>
        <v>0.40836879395085068</v>
      </c>
      <c r="U174" s="6"/>
    </row>
    <row r="175" spans="2:21" ht="13.2" x14ac:dyDescent="0.25">
      <c r="B175" s="40" t="str">
        <f>[2]Base!A175</f>
        <v>NATURA</v>
      </c>
      <c r="C175" s="41" t="str">
        <f>[2]Base!C175</f>
        <v>NM</v>
      </c>
      <c r="D175" s="19" t="s">
        <v>55</v>
      </c>
      <c r="E175" s="2" t="str">
        <f>[2]Base!M175</f>
        <v>Itaú BBA</v>
      </c>
      <c r="F175" s="170" t="str">
        <f>[2]Base!F175</f>
        <v>FOLLOW-ON</v>
      </c>
      <c r="G175" s="19" t="str">
        <f>[2]Base!G175</f>
        <v>ICVM 400</v>
      </c>
      <c r="H175" s="20">
        <f>[2]Base!X175</f>
        <v>40024</v>
      </c>
      <c r="I175" s="187">
        <f>[2]Base!W175</f>
        <v>26.5</v>
      </c>
      <c r="J175" s="188">
        <f>[2]Base!J175</f>
        <v>40028</v>
      </c>
      <c r="K175" s="189">
        <f>'[1]SITE (Imprensa)_PT'!K175</f>
        <v>6237</v>
      </c>
      <c r="L175" s="189">
        <f>[2]Base!DZ175</f>
        <v>6944</v>
      </c>
      <c r="M175" s="190">
        <f>[2]Base!AO175</f>
        <v>0</v>
      </c>
      <c r="N175" s="190">
        <f>[2]Base!AP175</f>
        <v>1505104891.5</v>
      </c>
      <c r="O175" s="190">
        <f>[2]Base!AQ175</f>
        <v>1505104891.5</v>
      </c>
      <c r="P175" s="190">
        <f>+[2]Base!ED175</f>
        <v>803751410.60557508</v>
      </c>
      <c r="Q175" s="191">
        <f>'[1]SITE (Imprensa)_PT'!P175</f>
        <v>9.3128859849964815E-2</v>
      </c>
      <c r="R175" s="157">
        <f>'[1]SITE (Imprensa)_PT'!Q175</f>
        <v>0.26150164664453884</v>
      </c>
      <c r="S175" s="157">
        <f>'[1]SITE (Imprensa)_PT'!R175</f>
        <v>0.58644247785304604</v>
      </c>
      <c r="T175" s="158">
        <f>'[1]SITE (Imprensa)_PT'!S175</f>
        <v>5.8927015652450294E-2</v>
      </c>
      <c r="U175" s="6"/>
    </row>
    <row r="176" spans="2:21" ht="13.2" x14ac:dyDescent="0.25">
      <c r="B176" s="40" t="str">
        <f>[2]Base!A176</f>
        <v>TIVIT</v>
      </c>
      <c r="C176" s="41" t="str">
        <f>[2]Base!C176</f>
        <v>NM</v>
      </c>
      <c r="D176" s="19" t="s">
        <v>78</v>
      </c>
      <c r="E176" s="2" t="str">
        <f>[2]Base!M176</f>
        <v>Credit Suisse</v>
      </c>
      <c r="F176" s="170" t="str">
        <f>[2]Base!F176</f>
        <v>IPO</v>
      </c>
      <c r="G176" s="19" t="str">
        <f>[2]Base!G176</f>
        <v>ICVM 400</v>
      </c>
      <c r="H176" s="20">
        <f>[2]Base!X176</f>
        <v>40080</v>
      </c>
      <c r="I176" s="187">
        <f>[2]Base!W176</f>
        <v>15</v>
      </c>
      <c r="J176" s="188">
        <f>[2]Base!J176</f>
        <v>40084</v>
      </c>
      <c r="K176" s="189">
        <f>'[1]SITE (Imprensa)_PT'!K176</f>
        <v>5774</v>
      </c>
      <c r="L176" s="189">
        <f>[2]Base!DZ176</f>
        <v>6191</v>
      </c>
      <c r="M176" s="190">
        <f>[2]Base!AO176</f>
        <v>0</v>
      </c>
      <c r="N176" s="190">
        <f>[2]Base!AP176</f>
        <v>574566690</v>
      </c>
      <c r="O176" s="190">
        <f>[2]Base!AQ176</f>
        <v>574566690</v>
      </c>
      <c r="P176" s="190">
        <f>+[2]Base!ED176</f>
        <v>320807755.4438861</v>
      </c>
      <c r="Q176" s="191">
        <f>'[1]SITE (Imprensa)_PT'!P176</f>
        <v>8.8666426092174289E-2</v>
      </c>
      <c r="R176" s="157">
        <f>'[1]SITE (Imprensa)_PT'!Q176</f>
        <v>5.7413247893671644E-2</v>
      </c>
      <c r="S176" s="157">
        <f>'[1]SITE (Imprensa)_PT'!R176</f>
        <v>0.85200069411855295</v>
      </c>
      <c r="T176" s="158">
        <f>'[1]SITE (Imprensa)_PT'!S176</f>
        <v>1.9196318956010826E-3</v>
      </c>
      <c r="U176" s="6"/>
    </row>
    <row r="177" spans="2:21" ht="13.2" x14ac:dyDescent="0.25">
      <c r="B177" s="40" t="str">
        <f>[2]Base!A177</f>
        <v>MULTIPLAN</v>
      </c>
      <c r="C177" s="41" t="str">
        <f>[2]Base!C177</f>
        <v>N2</v>
      </c>
      <c r="D177" s="19" t="s">
        <v>82</v>
      </c>
      <c r="E177" s="2" t="str">
        <f>[2]Base!M177</f>
        <v>BTG Pactual</v>
      </c>
      <c r="F177" s="170" t="str">
        <f>[2]Base!F177</f>
        <v>FOLLOW-ON</v>
      </c>
      <c r="G177" s="19" t="str">
        <f>[2]Base!G177</f>
        <v>ICVM 400</v>
      </c>
      <c r="H177" s="20">
        <f>[2]Base!X177</f>
        <v>40080</v>
      </c>
      <c r="I177" s="187">
        <f>[2]Base!W177</f>
        <v>26.5</v>
      </c>
      <c r="J177" s="188">
        <f>[2]Base!J177</f>
        <v>40084</v>
      </c>
      <c r="K177" s="189">
        <f>'[1]SITE (Imprensa)_PT'!K177</f>
        <v>5318</v>
      </c>
      <c r="L177" s="189">
        <f>[2]Base!DZ177</f>
        <v>6050</v>
      </c>
      <c r="M177" s="190">
        <f>[2]Base!AO177</f>
        <v>792350000</v>
      </c>
      <c r="N177" s="190">
        <f>[2]Base!AP177</f>
        <v>0</v>
      </c>
      <c r="O177" s="190">
        <f>[2]Base!AQ177</f>
        <v>792350000</v>
      </c>
      <c r="P177" s="190">
        <f>+[2]Base!ED177</f>
        <v>442406476.82858741</v>
      </c>
      <c r="Q177" s="191">
        <f>'[1]SITE (Imprensa)_PT'!P177</f>
        <v>8.1040769230769236E-2</v>
      </c>
      <c r="R177" s="157">
        <f>'[1]SITE (Imprensa)_PT'!Q177</f>
        <v>0.14349234113712375</v>
      </c>
      <c r="S177" s="157">
        <f>'[1]SITE (Imprensa)_PT'!R177</f>
        <v>0.73854304347826083</v>
      </c>
      <c r="T177" s="158">
        <f>'[1]SITE (Imprensa)_PT'!S177</f>
        <v>3.6923846153846154E-2</v>
      </c>
      <c r="U177" s="6"/>
    </row>
    <row r="178" spans="2:21" ht="13.2" x14ac:dyDescent="0.25">
      <c r="B178" s="40" t="str">
        <f>[2]Base!A178</f>
        <v>ROSSI RESID</v>
      </c>
      <c r="C178" s="41" t="str">
        <f>[2]Base!C178</f>
        <v>NM</v>
      </c>
      <c r="D178" s="19" t="s">
        <v>77</v>
      </c>
      <c r="E178" s="2" t="str">
        <f>[2]Base!M178</f>
        <v>Credit Suisse</v>
      </c>
      <c r="F178" s="170" t="str">
        <f>[2]Base!F178</f>
        <v>FOLLOW-ON</v>
      </c>
      <c r="G178" s="19" t="str">
        <f>[2]Base!G178</f>
        <v>ICVM 400</v>
      </c>
      <c r="H178" s="20">
        <f>[2]Base!X178</f>
        <v>40087</v>
      </c>
      <c r="I178" s="187">
        <f>[2]Base!W178</f>
        <v>12.5</v>
      </c>
      <c r="J178" s="188">
        <f>[2]Base!J178</f>
        <v>40091</v>
      </c>
      <c r="K178" s="189">
        <f>'[1]SITE (Imprensa)_PT'!K178</f>
        <v>4342</v>
      </c>
      <c r="L178" s="189">
        <f>[2]Base!DZ178</f>
        <v>4825</v>
      </c>
      <c r="M178" s="190">
        <f>[2]Base!AO178</f>
        <v>928125000</v>
      </c>
      <c r="N178" s="190">
        <f>[2]Base!AP178</f>
        <v>0</v>
      </c>
      <c r="O178" s="190">
        <f>[2]Base!AQ178</f>
        <v>928125000</v>
      </c>
      <c r="P178" s="190">
        <f>+[2]Base!ED178</f>
        <v>525165506.70514339</v>
      </c>
      <c r="Q178" s="191">
        <f>'[1]SITE (Imprensa)_PT'!P178</f>
        <v>7.7342949494949492E-2</v>
      </c>
      <c r="R178" s="157">
        <f>'[1]SITE (Imprensa)_PT'!Q178</f>
        <v>0.19340188552188553</v>
      </c>
      <c r="S178" s="157">
        <f>'[1]SITE (Imprensa)_PT'!R178</f>
        <v>0.72537593265993261</v>
      </c>
      <c r="T178" s="158">
        <f>'[1]SITE (Imprensa)_PT'!S178</f>
        <v>3.8792323232323231E-3</v>
      </c>
      <c r="U178" s="6"/>
    </row>
    <row r="179" spans="2:21" ht="13.2" x14ac:dyDescent="0.25">
      <c r="B179" s="40" t="str">
        <f>[2]Base!A179</f>
        <v>PDG REALT</v>
      </c>
      <c r="C179" s="41" t="str">
        <f>[2]Base!C179</f>
        <v>NM</v>
      </c>
      <c r="D179" s="19" t="s">
        <v>77</v>
      </c>
      <c r="E179" s="2" t="str">
        <f>[2]Base!M179</f>
        <v>BTG Pactual</v>
      </c>
      <c r="F179" s="170" t="str">
        <f>[2]Base!F179</f>
        <v>FOLLOW-ON</v>
      </c>
      <c r="G179" s="19" t="str">
        <f>[2]Base!G179</f>
        <v>ICVM 400</v>
      </c>
      <c r="H179" s="20">
        <f>[2]Base!X179</f>
        <v>40087</v>
      </c>
      <c r="I179" s="187">
        <f>[2]Base!W179</f>
        <v>14</v>
      </c>
      <c r="J179" s="188">
        <f>[2]Base!J179</f>
        <v>40091</v>
      </c>
      <c r="K179" s="189">
        <f>'[1]SITE (Imprensa)_PT'!K179</f>
        <v>2521</v>
      </c>
      <c r="L179" s="189">
        <f>[2]Base!DZ179</f>
        <v>3287</v>
      </c>
      <c r="M179" s="190">
        <f>[2]Base!AO179</f>
        <v>784000000</v>
      </c>
      <c r="N179" s="190">
        <f>[2]Base!AP179</f>
        <v>274400000</v>
      </c>
      <c r="O179" s="190">
        <f>[2]Base!AQ179</f>
        <v>1058400000</v>
      </c>
      <c r="P179" s="190">
        <f>+[2]Base!ED179</f>
        <v>598879646.919029</v>
      </c>
      <c r="Q179" s="191">
        <f>'[1]SITE (Imprensa)_PT'!P179</f>
        <v>7.6583769841269841E-2</v>
      </c>
      <c r="R179" s="157">
        <f>'[1]SITE (Imprensa)_PT'!Q179</f>
        <v>0.18932887566137566</v>
      </c>
      <c r="S179" s="157">
        <f>'[1]SITE (Imprensa)_PT'!R179</f>
        <v>0.73094513227513225</v>
      </c>
      <c r="T179" s="158">
        <f>'[1]SITE (Imprensa)_PT'!S179</f>
        <v>3.142222222222222E-3</v>
      </c>
      <c r="U179" s="6"/>
    </row>
    <row r="180" spans="2:21" ht="13.2" x14ac:dyDescent="0.25">
      <c r="B180" s="40" t="str">
        <f>[2]Base!A180</f>
        <v>SANTANDER BR ¹</v>
      </c>
      <c r="C180" s="41" t="str">
        <f>[2]Base!C180</f>
        <v>N2</v>
      </c>
      <c r="D180" s="19" t="s">
        <v>67</v>
      </c>
      <c r="E180" s="2" t="str">
        <f>[2]Base!M180</f>
        <v>Santander</v>
      </c>
      <c r="F180" s="170" t="str">
        <f>[2]Base!F180</f>
        <v>IPO</v>
      </c>
      <c r="G180" s="19" t="str">
        <f>[2]Base!G180</f>
        <v>ICVM 400</v>
      </c>
      <c r="H180" s="20">
        <f>[2]Base!X180</f>
        <v>40092</v>
      </c>
      <c r="I180" s="187">
        <f>[2]Base!W180</f>
        <v>23.5</v>
      </c>
      <c r="J180" s="188">
        <f>[2]Base!J180</f>
        <v>40093</v>
      </c>
      <c r="K180" s="189">
        <f>'[1]SITE (Imprensa)_PT'!K180</f>
        <v>74132</v>
      </c>
      <c r="L180" s="189">
        <f>[2]Base!DZ180</f>
        <v>101673</v>
      </c>
      <c r="M180" s="190">
        <f>[2]Base!AO180</f>
        <v>13182457728</v>
      </c>
      <c r="N180" s="190">
        <f>[2]Base!AP180</f>
        <v>0</v>
      </c>
      <c r="O180" s="190">
        <f>[2]Base!AQ180</f>
        <v>13182457728</v>
      </c>
      <c r="P180" s="190">
        <f>+[2]Base!ED180</f>
        <v>7492161254.9019604</v>
      </c>
      <c r="Q180" s="191">
        <f>'[1]SITE (Imprensa)_PT'!P180</f>
        <v>8.2591282070867938E-2</v>
      </c>
      <c r="R180" s="157">
        <f>'[1]SITE (Imprensa)_PT'!Q180</f>
        <v>0.10176439014619766</v>
      </c>
      <c r="S180" s="157">
        <f>'[1]SITE (Imprensa)_PT'!R180</f>
        <v>0.80160575274900281</v>
      </c>
      <c r="T180" s="158">
        <f>'[1]SITE (Imprensa)_PT'!S180</f>
        <v>1.4038575033931572E-2</v>
      </c>
      <c r="U180" s="6"/>
    </row>
    <row r="181" spans="2:21" ht="13.2" x14ac:dyDescent="0.25">
      <c r="B181" s="40" t="str">
        <f>[2]Base!A181</f>
        <v>GOL ¹</v>
      </c>
      <c r="C181" s="41" t="str">
        <f>[2]Base!C181</f>
        <v>N2</v>
      </c>
      <c r="D181" s="19" t="s">
        <v>56</v>
      </c>
      <c r="E181" s="2" t="str">
        <f>[2]Base!M181</f>
        <v>Itaú BBA</v>
      </c>
      <c r="F181" s="170" t="str">
        <f>[2]Base!F181</f>
        <v>FOLLOW-ON</v>
      </c>
      <c r="G181" s="19" t="str">
        <f>[2]Base!G181</f>
        <v>ICVM 400</v>
      </c>
      <c r="H181" s="20">
        <f>[2]Base!X181</f>
        <v>40094</v>
      </c>
      <c r="I181" s="187">
        <f>[2]Base!W181</f>
        <v>16.5</v>
      </c>
      <c r="J181" s="188">
        <f>[2]Base!J181</f>
        <v>40099</v>
      </c>
      <c r="K181" s="189">
        <f>'[1]SITE (Imprensa)_PT'!K181</f>
        <v>3588</v>
      </c>
      <c r="L181" s="189">
        <f>[2]Base!DZ181</f>
        <v>3986</v>
      </c>
      <c r="M181" s="190">
        <f>[2]Base!AO181</f>
        <v>627082500</v>
      </c>
      <c r="N181" s="190">
        <f>[2]Base!AP181</f>
        <v>399052500</v>
      </c>
      <c r="O181" s="190">
        <f>[2]Base!AQ181</f>
        <v>1026135000</v>
      </c>
      <c r="P181" s="190">
        <f>+[2]Base!ED181</f>
        <v>590105814.02035773</v>
      </c>
      <c r="Q181" s="191">
        <f>'[1]SITE (Imprensa)_PT'!P181</f>
        <v>4.6804614889853671E-2</v>
      </c>
      <c r="R181" s="157">
        <f>'[1]SITE (Imprensa)_PT'!Q181</f>
        <v>0.4490476443158064</v>
      </c>
      <c r="S181" s="157">
        <f>'[1]SITE (Imprensa)_PT'!R181</f>
        <v>0.48562198102588838</v>
      </c>
      <c r="T181" s="158">
        <f>'[1]SITE (Imprensa)_PT'!S181</f>
        <v>1.852575976845152E-2</v>
      </c>
      <c r="U181" s="6"/>
    </row>
    <row r="182" spans="2:21" ht="13.2" x14ac:dyDescent="0.25">
      <c r="B182" s="40" t="str">
        <f>[2]Base!A182</f>
        <v>BROOKFIELD</v>
      </c>
      <c r="C182" s="41" t="str">
        <f>[2]Base!C182</f>
        <v>NM</v>
      </c>
      <c r="D182" s="19" t="s">
        <v>77</v>
      </c>
      <c r="E182" s="2" t="str">
        <f>[2]Base!M182</f>
        <v>Itaú BBA</v>
      </c>
      <c r="F182" s="174" t="str">
        <f>[2]Base!F182</f>
        <v>FOLLOW-ON</v>
      </c>
      <c r="G182" s="19" t="str">
        <f>[2]Base!G182</f>
        <v>ICVM 400</v>
      </c>
      <c r="H182" s="20">
        <f>[2]Base!X182</f>
        <v>40106</v>
      </c>
      <c r="I182" s="187">
        <f>[2]Base!W182</f>
        <v>6.8</v>
      </c>
      <c r="J182" s="188">
        <f>[2]Base!J182</f>
        <v>40108</v>
      </c>
      <c r="K182" s="189">
        <f>'[1]SITE (Imprensa)_PT'!K182</f>
        <v>5833</v>
      </c>
      <c r="L182" s="189">
        <f>[2]Base!DZ182</f>
        <v>6519</v>
      </c>
      <c r="M182" s="190">
        <f>[2]Base!AO182</f>
        <v>562700000</v>
      </c>
      <c r="N182" s="190">
        <f>[2]Base!AP182</f>
        <v>102000000</v>
      </c>
      <c r="O182" s="190">
        <f>[2]Base!AQ182</f>
        <v>664700000</v>
      </c>
      <c r="P182" s="190">
        <f>+[2]Base!ED182</f>
        <v>381135321.10091746</v>
      </c>
      <c r="Q182" s="191">
        <f>'[1]SITE (Imprensa)_PT'!P182</f>
        <v>9.4576460358056252E-2</v>
      </c>
      <c r="R182" s="157">
        <f>'[1]SITE (Imprensa)_PT'!Q182</f>
        <v>0.42314158567774934</v>
      </c>
      <c r="S182" s="157">
        <f>'[1]SITE (Imprensa)_PT'!R182</f>
        <v>0.43230368286445015</v>
      </c>
      <c r="T182" s="158">
        <f>'[1]SITE (Imprensa)_PT'!S182</f>
        <v>4.9978271099744245E-2</v>
      </c>
      <c r="U182" s="6"/>
    </row>
    <row r="183" spans="2:21" ht="13.2" x14ac:dyDescent="0.25">
      <c r="B183" s="40" t="str">
        <f>[2]Base!A183</f>
        <v>CCR RODOVIAS</v>
      </c>
      <c r="C183" s="41" t="str">
        <f>[2]Base!C183</f>
        <v>NM</v>
      </c>
      <c r="D183" s="19" t="s">
        <v>54</v>
      </c>
      <c r="E183" s="2" t="str">
        <f>[2]Base!M183</f>
        <v>Itaú BBA</v>
      </c>
      <c r="F183" s="174" t="str">
        <f>[2]Base!F183</f>
        <v>FOLLOW-ON</v>
      </c>
      <c r="G183" s="19" t="str">
        <f>[2]Base!G183</f>
        <v>ICVM 400</v>
      </c>
      <c r="H183" s="20">
        <f>[2]Base!X183</f>
        <v>40107</v>
      </c>
      <c r="I183" s="187">
        <f>[2]Base!W183</f>
        <v>33</v>
      </c>
      <c r="J183" s="188">
        <f>[2]Base!J183</f>
        <v>40109</v>
      </c>
      <c r="K183" s="189">
        <f>'[1]SITE (Imprensa)_PT'!K183</f>
        <v>4930</v>
      </c>
      <c r="L183" s="189">
        <f>[2]Base!DZ183</f>
        <v>5612</v>
      </c>
      <c r="M183" s="190">
        <f>[2]Base!AO183</f>
        <v>1263735000</v>
      </c>
      <c r="N183" s="190">
        <f>[2]Base!AP183</f>
        <v>0</v>
      </c>
      <c r="O183" s="190">
        <f>[2]Base!AQ183</f>
        <v>1263735000</v>
      </c>
      <c r="P183" s="190">
        <f>+[2]Base!ED183</f>
        <v>738464909.71775842</v>
      </c>
      <c r="Q183" s="191">
        <f>'[1]SITE (Imprensa)_PT'!P183</f>
        <v>8.9528998563781173E-2</v>
      </c>
      <c r="R183" s="157">
        <f>'[1]SITE (Imprensa)_PT'!Q183</f>
        <v>0.21670056143099622</v>
      </c>
      <c r="S183" s="157">
        <f>'[1]SITE (Imprensa)_PT'!R183</f>
        <v>0.68990964877921401</v>
      </c>
      <c r="T183" s="158">
        <f>'[1]SITE (Imprensa)_PT'!S183</f>
        <v>3.8607912260086173E-3</v>
      </c>
      <c r="U183" s="6"/>
    </row>
    <row r="184" spans="2:21" ht="13.2" x14ac:dyDescent="0.25">
      <c r="B184" s="40" t="str">
        <f>[2]Base!A184</f>
        <v>IGUATEMI</v>
      </c>
      <c r="C184" s="41" t="str">
        <f>[2]Base!C184</f>
        <v>NM</v>
      </c>
      <c r="D184" s="19" t="s">
        <v>82</v>
      </c>
      <c r="E184" s="2" t="str">
        <f>[2]Base!M184</f>
        <v>Itaú BBA</v>
      </c>
      <c r="F184" s="170" t="str">
        <f>[2]Base!F184</f>
        <v>FOLLOW-ON</v>
      </c>
      <c r="G184" s="19" t="str">
        <f>[2]Base!G184</f>
        <v>ICVM 400</v>
      </c>
      <c r="H184" s="20">
        <f>[2]Base!X184</f>
        <v>40108</v>
      </c>
      <c r="I184" s="187">
        <f>[2]Base!W184</f>
        <v>28.5</v>
      </c>
      <c r="J184" s="188">
        <f>[2]Base!J184</f>
        <v>40112</v>
      </c>
      <c r="K184" s="189">
        <f>'[1]SITE (Imprensa)_PT'!K184</f>
        <v>3563</v>
      </c>
      <c r="L184" s="189">
        <f>[2]Base!DZ184</f>
        <v>3847</v>
      </c>
      <c r="M184" s="190">
        <f>[2]Base!AO184</f>
        <v>410400000</v>
      </c>
      <c r="N184" s="190">
        <f>[2]Base!AP184</f>
        <v>0</v>
      </c>
      <c r="O184" s="190">
        <f>[2]Base!AQ184</f>
        <v>410400000</v>
      </c>
      <c r="P184" s="190">
        <f>+[2]Base!ED184</f>
        <v>239202657.80730897</v>
      </c>
      <c r="Q184" s="191">
        <f>'[1]SITE (Imprensa)_PT'!P184</f>
        <v>8.8686061381074169E-2</v>
      </c>
      <c r="R184" s="157">
        <f>'[1]SITE (Imprensa)_PT'!Q184</f>
        <v>0.32909897698209717</v>
      </c>
      <c r="S184" s="157">
        <f>'[1]SITE (Imprensa)_PT'!R184</f>
        <v>0.57758900255754475</v>
      </c>
      <c r="T184" s="158">
        <f>'[1]SITE (Imprensa)_PT'!S184</f>
        <v>4.6259590792838874E-3</v>
      </c>
      <c r="U184" s="6"/>
    </row>
    <row r="185" spans="2:21" ht="13.2" x14ac:dyDescent="0.25">
      <c r="B185" s="40" t="str">
        <f>[2]Base!A185</f>
        <v>CETIP</v>
      </c>
      <c r="C185" s="41" t="str">
        <f>[2]Base!C185</f>
        <v>NM</v>
      </c>
      <c r="D185" s="19" t="s">
        <v>104</v>
      </c>
      <c r="E185" s="2" t="str">
        <f>[2]Base!M185</f>
        <v>Itaú BBA</v>
      </c>
      <c r="F185" s="170" t="str">
        <f>[2]Base!F185</f>
        <v>IPO</v>
      </c>
      <c r="G185" s="19" t="str">
        <f>[2]Base!G185</f>
        <v>ICVM 400</v>
      </c>
      <c r="H185" s="20">
        <f>[2]Base!X185</f>
        <v>40112</v>
      </c>
      <c r="I185" s="187">
        <f>[2]Base!W185</f>
        <v>13</v>
      </c>
      <c r="J185" s="188">
        <f>[2]Base!J185</f>
        <v>40114</v>
      </c>
      <c r="K185" s="189">
        <f>'[1]SITE (Imprensa)_PT'!K185</f>
        <v>5058</v>
      </c>
      <c r="L185" s="189">
        <f>[2]Base!DZ185</f>
        <v>5437</v>
      </c>
      <c r="M185" s="190">
        <f>[2]Base!AO185</f>
        <v>0</v>
      </c>
      <c r="N185" s="190">
        <f>[2]Base!AP185</f>
        <v>772991934</v>
      </c>
      <c r="O185" s="190">
        <f>[2]Base!AQ185</f>
        <v>772991934</v>
      </c>
      <c r="P185" s="190">
        <f>+[2]Base!ED185</f>
        <v>443051489.65438187</v>
      </c>
      <c r="Q185" s="191">
        <f>'[1]SITE (Imprensa)_PT'!P185</f>
        <v>9.8154683964816275E-2</v>
      </c>
      <c r="R185" s="157">
        <f>'[1]SITE (Imprensa)_PT'!Q185</f>
        <v>5.2802500182675204E-2</v>
      </c>
      <c r="S185" s="157">
        <f>'[1]SITE (Imprensa)_PT'!R185</f>
        <v>0.84489174491856878</v>
      </c>
      <c r="T185" s="158">
        <f>'[1]SITE (Imprensa)_PT'!S185</f>
        <v>4.1510709339397786E-3</v>
      </c>
      <c r="U185" s="6"/>
    </row>
    <row r="186" spans="2:21" ht="13.2" x14ac:dyDescent="0.25">
      <c r="B186" s="40" t="str">
        <f>[2]Base!A186</f>
        <v>CYRELA REALT</v>
      </c>
      <c r="C186" s="41" t="str">
        <f>[2]Base!C186</f>
        <v>NM</v>
      </c>
      <c r="D186" s="19" t="s">
        <v>73</v>
      </c>
      <c r="E186" s="2" t="str">
        <f>[2]Base!M186</f>
        <v>Credit Suisse</v>
      </c>
      <c r="F186" s="170" t="str">
        <f>[2]Base!F186</f>
        <v>FOLLOW-ON</v>
      </c>
      <c r="G186" s="19" t="str">
        <f>[2]Base!G186</f>
        <v>ICVM 400</v>
      </c>
      <c r="H186" s="20">
        <f>[2]Base!X186</f>
        <v>40113</v>
      </c>
      <c r="I186" s="187">
        <f>[2]Base!W186</f>
        <v>22</v>
      </c>
      <c r="J186" s="188">
        <f>[2]Base!J186</f>
        <v>40115</v>
      </c>
      <c r="K186" s="189">
        <f>'[1]SITE (Imprensa)_PT'!K186</f>
        <v>5170</v>
      </c>
      <c r="L186" s="189">
        <f>[2]Base!DZ186</f>
        <v>5766</v>
      </c>
      <c r="M186" s="190">
        <f>[2]Base!AO186</f>
        <v>1182500000</v>
      </c>
      <c r="N186" s="190">
        <f>[2]Base!AP186</f>
        <v>0</v>
      </c>
      <c r="O186" s="190">
        <f>[2]Base!AQ186</f>
        <v>1182500000</v>
      </c>
      <c r="P186" s="190">
        <f>+[2]Base!ED186</f>
        <v>678194540.03211749</v>
      </c>
      <c r="Q186" s="191">
        <f>'[1]SITE (Imprensa)_PT'!P186</f>
        <v>7.9324986046511628E-2</v>
      </c>
      <c r="R186" s="157">
        <f>'[1]SITE (Imprensa)_PT'!Q186</f>
        <v>2.4330139534883721E-2</v>
      </c>
      <c r="S186" s="157">
        <f>'[1]SITE (Imprensa)_PT'!R186</f>
        <v>0.72471419534883719</v>
      </c>
      <c r="T186" s="158">
        <f>'[1]SITE (Imprensa)_PT'!S186</f>
        <v>0.17163067906976745</v>
      </c>
      <c r="U186" s="6"/>
    </row>
    <row r="187" spans="2:21" ht="13.2" x14ac:dyDescent="0.25">
      <c r="B187" s="40" t="str">
        <f>[2]Base!A187</f>
        <v>MARFRIG</v>
      </c>
      <c r="C187" s="41" t="str">
        <f>[2]Base!C187</f>
        <v>NM</v>
      </c>
      <c r="D187" s="19" t="s">
        <v>86</v>
      </c>
      <c r="E187" s="2" t="str">
        <f>[2]Base!M187</f>
        <v>Bradesco BBI</v>
      </c>
      <c r="F187" s="170" t="str">
        <f>[2]Base!F187</f>
        <v>FOLLOW-ON</v>
      </c>
      <c r="G187" s="19" t="str">
        <f>[2]Base!G187</f>
        <v>ICVM 400</v>
      </c>
      <c r="H187" s="20">
        <f>[2]Base!X187</f>
        <v>40128</v>
      </c>
      <c r="I187" s="187">
        <f>[2]Base!W187</f>
        <v>19</v>
      </c>
      <c r="J187" s="188">
        <f>[2]Base!J187</f>
        <v>40129</v>
      </c>
      <c r="K187" s="189">
        <f>'[1]SITE (Imprensa)_PT'!K187</f>
        <v>5</v>
      </c>
      <c r="L187" s="189">
        <f>[2]Base!DZ187</f>
        <v>2644</v>
      </c>
      <c r="M187" s="190">
        <f>[2]Base!AO187</f>
        <v>1501760000</v>
      </c>
      <c r="N187" s="190">
        <f>[2]Base!AP187</f>
        <v>0</v>
      </c>
      <c r="O187" s="190">
        <f>[2]Base!AQ187</f>
        <v>1501760000</v>
      </c>
      <c r="P187" s="190">
        <f>+[2]Base!ED187</f>
        <v>870585507.24637675</v>
      </c>
      <c r="Q187" s="191">
        <f>'[1]SITE (Imprensa)_PT'!P187</f>
        <v>1.4612790991902835E-2</v>
      </c>
      <c r="R187" s="157">
        <f>'[1]SITE (Imprensa)_PT'!Q187</f>
        <v>0.26609741902834005</v>
      </c>
      <c r="S187" s="157">
        <f>'[1]SITE (Imprensa)_PT'!R187</f>
        <v>0.4783132464574899</v>
      </c>
      <c r="T187" s="158">
        <f>'[1]SITE (Imprensa)_PT'!S187</f>
        <v>0.24097654352226722</v>
      </c>
      <c r="U187" s="6"/>
    </row>
    <row r="188" spans="2:21" ht="13.2" x14ac:dyDescent="0.25">
      <c r="B188" s="40" t="str">
        <f>[2]Base!A188</f>
        <v>DIRECIONAL</v>
      </c>
      <c r="C188" s="41" t="str">
        <f>[2]Base!C188</f>
        <v>NM</v>
      </c>
      <c r="D188" s="19" t="s">
        <v>77</v>
      </c>
      <c r="E188" s="2" t="str">
        <f>[2]Base!M188</f>
        <v>Santander</v>
      </c>
      <c r="F188" s="170" t="str">
        <f>[2]Base!F188</f>
        <v>IPO</v>
      </c>
      <c r="G188" s="19" t="str">
        <f>[2]Base!G188</f>
        <v>ICVM 400</v>
      </c>
      <c r="H188" s="20">
        <f>[2]Base!X188</f>
        <v>40134</v>
      </c>
      <c r="I188" s="187">
        <f>[2]Base!W188</f>
        <v>10.5</v>
      </c>
      <c r="J188" s="188">
        <f>[2]Base!J188</f>
        <v>40136</v>
      </c>
      <c r="K188" s="189">
        <f>'[1]SITE (Imprensa)_PT'!K188</f>
        <v>588</v>
      </c>
      <c r="L188" s="189">
        <f>[2]Base!DZ188</f>
        <v>661</v>
      </c>
      <c r="M188" s="190">
        <f>[2]Base!AO188</f>
        <v>273999999</v>
      </c>
      <c r="N188" s="190">
        <f>[2]Base!AP188</f>
        <v>0</v>
      </c>
      <c r="O188" s="190">
        <f>[2]Base!AQ188</f>
        <v>273999999</v>
      </c>
      <c r="P188" s="190">
        <f>+[2]Base!ED188</f>
        <v>158500606.8143692</v>
      </c>
      <c r="Q188" s="191">
        <f>'[1]SITE (Imprensa)_PT'!P188</f>
        <v>7.4642009396503686E-2</v>
      </c>
      <c r="R188" s="157">
        <f>'[1]SITE (Imprensa)_PT'!Q188</f>
        <v>7.1940903547229582E-2</v>
      </c>
      <c r="S188" s="157">
        <f>'[1]SITE (Imprensa)_PT'!R188</f>
        <v>0.64310699139820071</v>
      </c>
      <c r="T188" s="158">
        <f>'[1]SITE (Imprensa)_PT'!S188</f>
        <v>0.21031009565806605</v>
      </c>
      <c r="U188" s="6"/>
    </row>
    <row r="189" spans="2:21" ht="13.2" x14ac:dyDescent="0.25">
      <c r="B189" s="40" t="str">
        <f>[2]Base!A189</f>
        <v>ENERGIAS BR</v>
      </c>
      <c r="C189" s="41" t="str">
        <f>[2]Base!C189</f>
        <v>NM</v>
      </c>
      <c r="D189" s="19" t="s">
        <v>60</v>
      </c>
      <c r="E189" s="2" t="str">
        <f>[2]Base!M189</f>
        <v>Bradesco BBI</v>
      </c>
      <c r="F189" s="170" t="str">
        <f>[2]Base!F189</f>
        <v>FOLLOW-ON</v>
      </c>
      <c r="G189" s="19" t="str">
        <f>[2]Base!G189</f>
        <v>ICVM 400</v>
      </c>
      <c r="H189" s="20">
        <f>[2]Base!X189</f>
        <v>40141</v>
      </c>
      <c r="I189" s="187">
        <f>[2]Base!W189</f>
        <v>28.5</v>
      </c>
      <c r="J189" s="188">
        <f>[2]Base!J189</f>
        <v>40143</v>
      </c>
      <c r="K189" s="189">
        <f>'[1]SITE (Imprensa)_PT'!K189</f>
        <v>1109</v>
      </c>
      <c r="L189" s="189">
        <f>[2]Base!DZ189</f>
        <v>1551</v>
      </c>
      <c r="M189" s="190">
        <f>[2]Base!AO189</f>
        <v>0</v>
      </c>
      <c r="N189" s="190">
        <f>[2]Base!AP189</f>
        <v>441750000</v>
      </c>
      <c r="O189" s="190">
        <f>[2]Base!AQ189</f>
        <v>441750000</v>
      </c>
      <c r="P189" s="190">
        <f>+[2]Base!ED189</f>
        <v>253748061.34757885</v>
      </c>
      <c r="Q189" s="191">
        <f>'[1]SITE (Imprensa)_PT'!P189</f>
        <v>9.2037225806451614E-2</v>
      </c>
      <c r="R189" s="157">
        <f>'[1]SITE (Imprensa)_PT'!Q189</f>
        <v>0.32481458064516128</v>
      </c>
      <c r="S189" s="157">
        <f>'[1]SITE (Imprensa)_PT'!R189</f>
        <v>0.58067290322580645</v>
      </c>
      <c r="T189" s="158">
        <f>'[1]SITE (Imprensa)_PT'!S189</f>
        <v>2.4752903225806451E-3</v>
      </c>
      <c r="U189" s="6"/>
    </row>
    <row r="190" spans="2:21" ht="13.2" x14ac:dyDescent="0.25">
      <c r="B190" s="178" t="str">
        <f>[2]Base!A190</f>
        <v>ANHANGUERA</v>
      </c>
      <c r="C190" s="74" t="str">
        <f>[2]Base!C190</f>
        <v>N2</v>
      </c>
      <c r="D190" s="19" t="s">
        <v>93</v>
      </c>
      <c r="E190" s="2" t="str">
        <f>[2]Base!M190</f>
        <v>Itaú BBA</v>
      </c>
      <c r="F190" s="170" t="str">
        <f>[2]Base!F190</f>
        <v>FOLLOW-ON</v>
      </c>
      <c r="G190" s="19" t="str">
        <f>[2]Base!G190</f>
        <v>ICVM 400</v>
      </c>
      <c r="H190" s="20">
        <f>[2]Base!X190</f>
        <v>40155</v>
      </c>
      <c r="I190" s="187">
        <f>[2]Base!W190</f>
        <v>22.5</v>
      </c>
      <c r="J190" s="188">
        <f>[2]Base!J190</f>
        <v>40157</v>
      </c>
      <c r="K190" s="189">
        <f>'[1]SITE (Imprensa)_PT'!K190</f>
        <v>1487</v>
      </c>
      <c r="L190" s="189">
        <f>[2]Base!DZ190</f>
        <v>1924</v>
      </c>
      <c r="M190" s="190">
        <f>[2]Base!AO190</f>
        <v>0</v>
      </c>
      <c r="N190" s="190">
        <f>[2]Base!AP190</f>
        <v>750375000</v>
      </c>
      <c r="O190" s="190">
        <f>[2]Base!AQ190</f>
        <v>750375000</v>
      </c>
      <c r="P190" s="190">
        <f>+[2]Base!ED190</f>
        <v>425696374.87944633</v>
      </c>
      <c r="Q190" s="191">
        <f>'[1]SITE (Imprensa)_PT'!P190</f>
        <v>8.5570854572713642E-2</v>
      </c>
      <c r="R190" s="157">
        <f>'[1]SITE (Imprensa)_PT'!Q190</f>
        <v>0.12138284857571215</v>
      </c>
      <c r="S190" s="157">
        <f>'[1]SITE (Imprensa)_PT'!R190</f>
        <v>0.79038140929535228</v>
      </c>
      <c r="T190" s="158">
        <f>'[1]SITE (Imprensa)_PT'!S190</f>
        <v>2.6648875562218892E-3</v>
      </c>
      <c r="U190" s="6"/>
    </row>
    <row r="191" spans="2:21" ht="13.8" thickBot="1" x14ac:dyDescent="0.3">
      <c r="B191" s="30" t="str">
        <f>[2]Base!A191</f>
        <v>FLEURY</v>
      </c>
      <c r="C191" s="31" t="str">
        <f>[2]Base!C191</f>
        <v>NM</v>
      </c>
      <c r="D191" s="31" t="s">
        <v>63</v>
      </c>
      <c r="E191" s="179" t="str">
        <f>[2]Base!M191</f>
        <v>Bradesco BBI</v>
      </c>
      <c r="F191" s="180" t="str">
        <f>[2]Base!F191</f>
        <v>IPO</v>
      </c>
      <c r="G191" s="179" t="str">
        <f>[2]Base!G191</f>
        <v>ICVM 400</v>
      </c>
      <c r="H191" s="32">
        <f>[2]Base!X191</f>
        <v>40162</v>
      </c>
      <c r="I191" s="33">
        <f>[2]Base!W191</f>
        <v>16</v>
      </c>
      <c r="J191" s="192">
        <f>[2]Base!J191</f>
        <v>40164</v>
      </c>
      <c r="K191" s="193">
        <f>'[1]SITE (Imprensa)_PT'!K191</f>
        <v>4631</v>
      </c>
      <c r="L191" s="193">
        <f>[2]Base!DZ191</f>
        <v>5176</v>
      </c>
      <c r="M191" s="194">
        <f>[2]Base!AO191</f>
        <v>630233120</v>
      </c>
      <c r="N191" s="194">
        <f>[2]Base!AP191</f>
        <v>0</v>
      </c>
      <c r="O191" s="194">
        <f>[2]Base!AQ191</f>
        <v>630233120</v>
      </c>
      <c r="P191" s="194">
        <f>+[2]Base!ED191</f>
        <v>353606643.1016103</v>
      </c>
      <c r="Q191" s="159">
        <f>'[1]SITE (Imprensa)_PT'!P191</f>
        <v>8.7598442938067109E-2</v>
      </c>
      <c r="R191" s="159">
        <f>'[1]SITE (Imprensa)_PT'!Q191</f>
        <v>0.15645067971039034</v>
      </c>
      <c r="S191" s="159">
        <f>'[1]SITE (Imprensa)_PT'!R191</f>
        <v>0.75337131123797496</v>
      </c>
      <c r="T191" s="160">
        <f>'[1]SITE (Imprensa)_PT'!S191</f>
        <v>2.5795661135676272E-3</v>
      </c>
      <c r="U191" s="6"/>
    </row>
    <row r="192" spans="2:21" ht="13.8" thickTop="1" x14ac:dyDescent="0.25">
      <c r="B192" s="40" t="str">
        <f>[2]Base!A192</f>
        <v>ALIANSCE</v>
      </c>
      <c r="C192" s="41" t="str">
        <f>[2]Base!C192</f>
        <v>NM</v>
      </c>
      <c r="D192" s="165" t="s">
        <v>82</v>
      </c>
      <c r="E192" s="165" t="str">
        <f>[2]Base!M192</f>
        <v>BTG Pactual</v>
      </c>
      <c r="F192" s="166" t="str">
        <f>[2]Base!F192</f>
        <v>IPO</v>
      </c>
      <c r="G192" s="2" t="str">
        <f>[2]Base!G192</f>
        <v>ICVM 400</v>
      </c>
      <c r="H192" s="42">
        <f>[2]Base!X192</f>
        <v>40205</v>
      </c>
      <c r="I192" s="43">
        <f>[2]Base!W192</f>
        <v>9</v>
      </c>
      <c r="J192" s="167">
        <f>[2]Base!J192</f>
        <v>40207</v>
      </c>
      <c r="K192" s="168">
        <f>'[1]SITE (Imprensa)_PT'!K192</f>
        <v>1626</v>
      </c>
      <c r="L192" s="168">
        <f>[2]Base!DZ192</f>
        <v>1892</v>
      </c>
      <c r="M192" s="169">
        <f>[2]Base!AO192</f>
        <v>450000000</v>
      </c>
      <c r="N192" s="169">
        <f>[2]Base!AP192</f>
        <v>193500000</v>
      </c>
      <c r="O192" s="169">
        <f>[2]Base!AQ192</f>
        <v>643500000</v>
      </c>
      <c r="P192" s="169">
        <f>+[2]Base!ED192</f>
        <v>343236611.90526992</v>
      </c>
      <c r="Q192" s="161">
        <f>'[1]SITE (Imprensa)_PT'!P192</f>
        <v>6.665237762237762E-2</v>
      </c>
      <c r="R192" s="161">
        <f>'[1]SITE (Imprensa)_PT'!Q192</f>
        <v>0.20004700699300698</v>
      </c>
      <c r="S192" s="161">
        <f>'[1]SITE (Imprensa)_PT'!R192</f>
        <v>0.73164967832167838</v>
      </c>
      <c r="T192" s="162">
        <f>'[1]SITE (Imprensa)_PT'!S192</f>
        <v>1.650937062937063E-3</v>
      </c>
      <c r="U192" s="6"/>
    </row>
    <row r="193" spans="2:21" ht="13.2" x14ac:dyDescent="0.25">
      <c r="B193" s="40" t="str">
        <f>[2]Base!A193</f>
        <v>INPAR S/A</v>
      </c>
      <c r="C193" s="41" t="str">
        <f>[2]Base!C193</f>
        <v>NM</v>
      </c>
      <c r="D193" s="170" t="s">
        <v>77</v>
      </c>
      <c r="E193" s="170" t="str">
        <f>[2]Base!M193</f>
        <v>Credit Suisse</v>
      </c>
      <c r="F193" s="170" t="str">
        <f>[2]Base!F193</f>
        <v>FOLLOW-ON</v>
      </c>
      <c r="G193" s="19" t="str">
        <f>[2]Base!G193</f>
        <v>ICVM 400</v>
      </c>
      <c r="H193" s="20">
        <f>[2]Base!X193</f>
        <v>40211</v>
      </c>
      <c r="I193" s="21">
        <f>[2]Base!W193</f>
        <v>3.2</v>
      </c>
      <c r="J193" s="171">
        <f>[2]Base!J193</f>
        <v>40213</v>
      </c>
      <c r="K193" s="172">
        <f>'[1]SITE (Imprensa)_PT'!K193</f>
        <v>1423</v>
      </c>
      <c r="L193" s="172">
        <f>[2]Base!DZ193</f>
        <v>1612</v>
      </c>
      <c r="M193" s="173">
        <f>[2]Base!AO193</f>
        <v>280000000</v>
      </c>
      <c r="N193" s="173">
        <f>[2]Base!AP193</f>
        <v>0</v>
      </c>
      <c r="O193" s="173">
        <f>[2]Base!AQ193</f>
        <v>280000000</v>
      </c>
      <c r="P193" s="173">
        <f>+[2]Base!ED193</f>
        <v>149612610.20571736</v>
      </c>
      <c r="Q193" s="157">
        <f>'[1]SITE (Imprensa)_PT'!P193</f>
        <v>6.8151439999999994E-2</v>
      </c>
      <c r="R193" s="157">
        <f>'[1]SITE (Imprensa)_PT'!Q193</f>
        <v>0.24533228571428572</v>
      </c>
      <c r="S193" s="157">
        <f>'[1]SITE (Imprensa)_PT'!R193</f>
        <v>0.68484573714285712</v>
      </c>
      <c r="T193" s="158">
        <f>'[1]SITE (Imprensa)_PT'!S193</f>
        <v>1.6705371428571429E-3</v>
      </c>
      <c r="U193" s="6"/>
    </row>
    <row r="194" spans="2:21" ht="13.2" x14ac:dyDescent="0.25">
      <c r="B194" s="40" t="str">
        <f>[2]Base!A194</f>
        <v>MULTIPLUS</v>
      </c>
      <c r="C194" s="41" t="str">
        <f>[2]Base!C194</f>
        <v>NM</v>
      </c>
      <c r="D194" s="170" t="s">
        <v>112</v>
      </c>
      <c r="E194" s="170" t="str">
        <f>[2]Base!M194</f>
        <v>BTG Pactual</v>
      </c>
      <c r="F194" s="170" t="str">
        <f>[2]Base!F194</f>
        <v>IPO</v>
      </c>
      <c r="G194" s="19" t="str">
        <f>[2]Base!G194</f>
        <v>ICVM 400</v>
      </c>
      <c r="H194" s="20">
        <f>[2]Base!X194</f>
        <v>40212</v>
      </c>
      <c r="I194" s="21">
        <f>[2]Base!W194</f>
        <v>16</v>
      </c>
      <c r="J194" s="171">
        <f>[2]Base!J194</f>
        <v>40214</v>
      </c>
      <c r="K194" s="172">
        <f>'[1]SITE (Imprensa)_PT'!K194</f>
        <v>1167</v>
      </c>
      <c r="L194" s="172">
        <f>[2]Base!DZ194</f>
        <v>1388</v>
      </c>
      <c r="M194" s="173">
        <f>[2]Base!AO194</f>
        <v>692384000</v>
      </c>
      <c r="N194" s="173">
        <f>[2]Base!AP194</f>
        <v>0</v>
      </c>
      <c r="O194" s="173">
        <f>[2]Base!AQ194</f>
        <v>692384000</v>
      </c>
      <c r="P194" s="173">
        <f>+[2]Base!ED194</f>
        <v>369212392.68383723</v>
      </c>
      <c r="Q194" s="157">
        <f>'[1]SITE (Imprensa)_PT'!P194</f>
        <v>4.1318204926745851E-2</v>
      </c>
      <c r="R194" s="157">
        <f>'[1]SITE (Imprensa)_PT'!Q194</f>
        <v>2.7142626057216806E-3</v>
      </c>
      <c r="S194" s="157">
        <f>'[1]SITE (Imprensa)_PT'!R194</f>
        <v>0.82120152978693906</v>
      </c>
      <c r="T194" s="158">
        <f>'[1]SITE (Imprensa)_PT'!S194</f>
        <v>0.13476600268059344</v>
      </c>
      <c r="U194" s="6"/>
    </row>
    <row r="195" spans="2:21" ht="13.2" x14ac:dyDescent="0.25">
      <c r="B195" s="40" t="str">
        <f>[2]Base!A195</f>
        <v>PDG REALT</v>
      </c>
      <c r="C195" s="41" t="str">
        <f>[2]Base!C195</f>
        <v>NM</v>
      </c>
      <c r="D195" s="170" t="s">
        <v>77</v>
      </c>
      <c r="E195" s="170" t="str">
        <f>[2]Base!M195</f>
        <v>Credit Suisse</v>
      </c>
      <c r="F195" s="170" t="str">
        <f>[2]Base!F195</f>
        <v>FOLLOW-ON</v>
      </c>
      <c r="G195" s="19" t="str">
        <f>[2]Base!G195</f>
        <v>ICVM 400</v>
      </c>
      <c r="H195" s="20">
        <f>[2]Base!X195</f>
        <v>40213</v>
      </c>
      <c r="I195" s="21">
        <f>[2]Base!W195</f>
        <v>14.5</v>
      </c>
      <c r="J195" s="171">
        <f>[2]Base!J195</f>
        <v>40217</v>
      </c>
      <c r="K195" s="172">
        <f>'[1]SITE (Imprensa)_PT'!K195</f>
        <v>2802</v>
      </c>
      <c r="L195" s="172">
        <f>[2]Base!DZ195</f>
        <v>3491</v>
      </c>
      <c r="M195" s="173">
        <f>[2]Base!AO195</f>
        <v>0</v>
      </c>
      <c r="N195" s="173">
        <f>[2]Base!AP195</f>
        <v>1618891461.5</v>
      </c>
      <c r="O195" s="173">
        <f>[2]Base!AQ195</f>
        <v>1618891461.5</v>
      </c>
      <c r="P195" s="173">
        <f>+[2]Base!ED195</f>
        <v>864330732.24773097</v>
      </c>
      <c r="Q195" s="157">
        <f>'[1]SITE (Imprensa)_PT'!P195</f>
        <v>9.7183052256156463E-2</v>
      </c>
      <c r="R195" s="157">
        <f>'[1]SITE (Imprensa)_PT'!Q195</f>
        <v>0.43246845767615411</v>
      </c>
      <c r="S195" s="157">
        <f>'[1]SITE (Imprensa)_PT'!R195</f>
        <v>0.46770936687653908</v>
      </c>
      <c r="T195" s="158">
        <f>'[1]SITE (Imprensa)_PT'!S195</f>
        <v>2.6391231911503908E-3</v>
      </c>
      <c r="U195" s="6"/>
    </row>
    <row r="196" spans="2:21" ht="13.2" x14ac:dyDescent="0.25">
      <c r="B196" s="40" t="str">
        <f>[2]Base!A196</f>
        <v>BR PROPERT</v>
      </c>
      <c r="C196" s="41" t="str">
        <f>[2]Base!C196</f>
        <v>NM</v>
      </c>
      <c r="D196" s="170" t="s">
        <v>82</v>
      </c>
      <c r="E196" s="170" t="str">
        <f>[2]Base!M196</f>
        <v>Itaú BBA</v>
      </c>
      <c r="F196" s="170" t="str">
        <f>[2]Base!F196</f>
        <v>IPO</v>
      </c>
      <c r="G196" s="19" t="str">
        <f>[2]Base!G196</f>
        <v>ICVM 400</v>
      </c>
      <c r="H196" s="20">
        <f>[2]Base!X196</f>
        <v>40241</v>
      </c>
      <c r="I196" s="21">
        <f>[2]Base!W196</f>
        <v>13</v>
      </c>
      <c r="J196" s="171">
        <f>[2]Base!J196</f>
        <v>40245</v>
      </c>
      <c r="K196" s="172">
        <f>'[1]SITE (Imprensa)_PT'!K196</f>
        <v>1451</v>
      </c>
      <c r="L196" s="172">
        <f>[2]Base!DZ196</f>
        <v>1831</v>
      </c>
      <c r="M196" s="173">
        <f>[2]Base!AO196</f>
        <v>747500000</v>
      </c>
      <c r="N196" s="173">
        <f>[2]Base!AP196</f>
        <v>186888000</v>
      </c>
      <c r="O196" s="173">
        <f>[2]Base!AQ196</f>
        <v>934388000</v>
      </c>
      <c r="P196" s="173">
        <f>+[2]Base!ED196</f>
        <v>524171434.98260969</v>
      </c>
      <c r="Q196" s="157">
        <f>'[1]SITE (Imprensa)_PT'!P196</f>
        <v>4.2736845238634497E-2</v>
      </c>
      <c r="R196" s="157">
        <f>'[1]SITE (Imprensa)_PT'!Q196</f>
        <v>0.28556674479432925</v>
      </c>
      <c r="S196" s="157">
        <f>'[1]SITE (Imprensa)_PT'!R196</f>
        <v>0.6514811684723173</v>
      </c>
      <c r="T196" s="158">
        <f>'[1]SITE (Imprensa)_PT'!S196</f>
        <v>2.0215241494718941E-2</v>
      </c>
      <c r="U196" s="6"/>
    </row>
    <row r="197" spans="2:21" ht="13.2" x14ac:dyDescent="0.25">
      <c r="B197" s="40" t="str">
        <f>[2]Base!A197</f>
        <v xml:space="preserve">OSX BRASIL </v>
      </c>
      <c r="C197" s="41" t="str">
        <f>[2]Base!C197</f>
        <v>NM</v>
      </c>
      <c r="D197" s="170" t="s">
        <v>96</v>
      </c>
      <c r="E197" s="170" t="str">
        <f>[2]Base!M197</f>
        <v>Credit Suisse</v>
      </c>
      <c r="F197" s="170" t="str">
        <f>[2]Base!F197</f>
        <v>IPO</v>
      </c>
      <c r="G197" s="19" t="str">
        <f>[2]Base!G197</f>
        <v>ICVM 400</v>
      </c>
      <c r="H197" s="20">
        <f>[2]Base!X197</f>
        <v>40255</v>
      </c>
      <c r="I197" s="21">
        <f>[2]Base!W197</f>
        <v>800</v>
      </c>
      <c r="J197" s="171">
        <f>[2]Base!J197</f>
        <v>40259</v>
      </c>
      <c r="K197" s="172">
        <f>'[1]SITE (Imprensa)_PT'!K197</f>
        <v>30</v>
      </c>
      <c r="L197" s="172">
        <f>[2]Base!DZ197</f>
        <v>184</v>
      </c>
      <c r="M197" s="173">
        <f>[2]Base!AO197</f>
        <v>2450400000</v>
      </c>
      <c r="N197" s="173">
        <f>[2]Base!AP197</f>
        <v>0</v>
      </c>
      <c r="O197" s="173">
        <f>[2]Base!AQ197</f>
        <v>2450400000</v>
      </c>
      <c r="P197" s="173">
        <f>+[2]Base!ED197</f>
        <v>1359068219.6339436</v>
      </c>
      <c r="Q197" s="157">
        <f>'[1]SITE (Imprensa)_PT'!P197</f>
        <v>1.1753183153770812E-2</v>
      </c>
      <c r="R197" s="157">
        <f>'[1]SITE (Imprensa)_PT'!Q197</f>
        <v>1.8137943760734715E-2</v>
      </c>
      <c r="S197" s="157">
        <f>'[1]SITE (Imprensa)_PT'!R197</f>
        <v>0.69346903433689622</v>
      </c>
      <c r="T197" s="158">
        <f>'[1]SITE (Imprensa)_PT'!S197</f>
        <v>0.27663983874859827</v>
      </c>
      <c r="U197" s="6"/>
    </row>
    <row r="198" spans="2:21" ht="13.2" x14ac:dyDescent="0.25">
      <c r="B198" s="40" t="str">
        <f>[2]Base!A198</f>
        <v>GAFISA ¹</v>
      </c>
      <c r="C198" s="41" t="str">
        <f>[2]Base!C198</f>
        <v>NM</v>
      </c>
      <c r="D198" s="170" t="s">
        <v>77</v>
      </c>
      <c r="E198" s="170" t="str">
        <f>[2]Base!M198</f>
        <v>Itaú BBA</v>
      </c>
      <c r="F198" s="170" t="str">
        <f>[2]Base!F198</f>
        <v>FOLLOW-ON</v>
      </c>
      <c r="G198" s="19" t="str">
        <f>[2]Base!G198</f>
        <v>ICVM 400</v>
      </c>
      <c r="H198" s="20">
        <f>[2]Base!X198</f>
        <v>40260</v>
      </c>
      <c r="I198" s="21">
        <f>[2]Base!W198</f>
        <v>12.5</v>
      </c>
      <c r="J198" s="171">
        <f>[2]Base!J198</f>
        <v>40262</v>
      </c>
      <c r="K198" s="172">
        <f>'[1]SITE (Imprensa)_PT'!K198</f>
        <v>2488</v>
      </c>
      <c r="L198" s="172">
        <f>[2]Base!DZ198</f>
        <v>2910</v>
      </c>
      <c r="M198" s="173">
        <f>[2]Base!AO198</f>
        <v>1063750000</v>
      </c>
      <c r="N198" s="173">
        <f>[2]Base!AP198</f>
        <v>0</v>
      </c>
      <c r="O198" s="173">
        <f>[2]Base!AQ198</f>
        <v>1063750000</v>
      </c>
      <c r="P198" s="173">
        <f>+[2]Base!ED198</f>
        <v>590709684.58462906</v>
      </c>
      <c r="Q198" s="157">
        <f>'[1]SITE (Imprensa)_PT'!P198</f>
        <v>6.2444923619271446E-2</v>
      </c>
      <c r="R198" s="157">
        <f>'[1]SITE (Imprensa)_PT'!Q198</f>
        <v>0.31804683901292596</v>
      </c>
      <c r="S198" s="157">
        <f>'[1]SITE (Imprensa)_PT'!R198</f>
        <v>0.61794923619271447</v>
      </c>
      <c r="T198" s="158">
        <f>'[1]SITE (Imprensa)_PT'!S198</f>
        <v>1.5590011750881317E-3</v>
      </c>
      <c r="U198" s="6"/>
    </row>
    <row r="199" spans="2:21" ht="13.2" x14ac:dyDescent="0.25">
      <c r="B199" s="40" t="str">
        <f>[2]Base!A199</f>
        <v>ECORODOVIAS</v>
      </c>
      <c r="C199" s="41" t="str">
        <f>[2]Base!C199</f>
        <v>NM</v>
      </c>
      <c r="D199" s="170" t="s">
        <v>54</v>
      </c>
      <c r="E199" s="170" t="str">
        <f>[2]Base!M199</f>
        <v>Itaú BBA</v>
      </c>
      <c r="F199" s="170" t="str">
        <f>[2]Base!F199</f>
        <v>IPO</v>
      </c>
      <c r="G199" s="19" t="str">
        <f>[2]Base!G199</f>
        <v>ICVM 400</v>
      </c>
      <c r="H199" s="20">
        <f>[2]Base!X199</f>
        <v>40267</v>
      </c>
      <c r="I199" s="21">
        <f>[2]Base!W199</f>
        <v>9.5</v>
      </c>
      <c r="J199" s="171">
        <f>[2]Base!J199</f>
        <v>40269</v>
      </c>
      <c r="K199" s="172">
        <f>'[1]SITE (Imprensa)_PT'!K199</f>
        <v>1982</v>
      </c>
      <c r="L199" s="172">
        <f>[2]Base!DZ199</f>
        <v>2647</v>
      </c>
      <c r="M199" s="173">
        <f>[2]Base!AO199</f>
        <v>874000000</v>
      </c>
      <c r="N199" s="173">
        <f>[2]Base!AP199</f>
        <v>494028500</v>
      </c>
      <c r="O199" s="173">
        <f>[2]Base!AQ199</f>
        <v>1368028500</v>
      </c>
      <c r="P199" s="173">
        <f>+[2]Base!ED199</f>
        <v>772853793.57098472</v>
      </c>
      <c r="Q199" s="157">
        <f>'[1]SITE (Imprensa)_PT'!P199</f>
        <v>4.7046790691860588E-2</v>
      </c>
      <c r="R199" s="157">
        <f>'[1]SITE (Imprensa)_PT'!Q199</f>
        <v>0.29249494107761642</v>
      </c>
      <c r="S199" s="157">
        <f>'[1]SITE (Imprensa)_PT'!R199</f>
        <v>0.51137191586286401</v>
      </c>
      <c r="T199" s="158">
        <f>'[1]SITE (Imprensa)_PT'!S199</f>
        <v>0.14908635236765902</v>
      </c>
      <c r="U199" s="6"/>
    </row>
    <row r="200" spans="2:21" ht="13.2" x14ac:dyDescent="0.25">
      <c r="B200" s="40" t="str">
        <f>[2]Base!A200</f>
        <v>HYPERMARCAS</v>
      </c>
      <c r="C200" s="41" t="str">
        <f>[2]Base!C200</f>
        <v>NM</v>
      </c>
      <c r="D200" s="174" t="s">
        <v>69</v>
      </c>
      <c r="E200" s="174" t="str">
        <f>[2]Base!M200</f>
        <v>Citi</v>
      </c>
      <c r="F200" s="174" t="str">
        <f>[2]Base!F200</f>
        <v>FOLLOW-ON</v>
      </c>
      <c r="G200" s="19" t="str">
        <f>[2]Base!G200</f>
        <v>ICVM 400</v>
      </c>
      <c r="H200" s="20">
        <f>[2]Base!X200</f>
        <v>40268</v>
      </c>
      <c r="I200" s="21">
        <f>[2]Base!W200</f>
        <v>21</v>
      </c>
      <c r="J200" s="175">
        <f>[2]Base!J200</f>
        <v>40273</v>
      </c>
      <c r="K200" s="176">
        <f>'[1]SITE (Imprensa)_PT'!K200</f>
        <v>2697</v>
      </c>
      <c r="L200" s="176">
        <f>[2]Base!DZ200</f>
        <v>3616</v>
      </c>
      <c r="M200" s="177">
        <f>[2]Base!AO200</f>
        <v>1232616000</v>
      </c>
      <c r="N200" s="177">
        <f>[2]Base!AP200</f>
        <v>0</v>
      </c>
      <c r="O200" s="177">
        <f>[2]Base!AQ200</f>
        <v>1232616000</v>
      </c>
      <c r="P200" s="177">
        <f>+[2]Base!ED200</f>
        <v>701426051.32874298</v>
      </c>
      <c r="Q200" s="157">
        <f>'[1]SITE (Imprensa)_PT'!P200</f>
        <v>7.7514992503748131E-2</v>
      </c>
      <c r="R200" s="157">
        <f>'[1]SITE (Imprensa)_PT'!Q200</f>
        <v>0.20446035504974786</v>
      </c>
      <c r="S200" s="157">
        <f>'[1]SITE (Imprensa)_PT'!R200</f>
        <v>0.71584234019353954</v>
      </c>
      <c r="T200" s="158">
        <f>'[1]SITE (Imprensa)_PT'!S200</f>
        <v>2.1823122529644268E-3</v>
      </c>
      <c r="U200" s="6"/>
    </row>
    <row r="201" spans="2:21" ht="13.2" x14ac:dyDescent="0.25">
      <c r="B201" s="40" t="str">
        <f>[2]Base!A201</f>
        <v>MILLS</v>
      </c>
      <c r="C201" s="41" t="str">
        <f>[2]Base!C201</f>
        <v>NM</v>
      </c>
      <c r="D201" s="174" t="s">
        <v>81</v>
      </c>
      <c r="E201" s="174" t="str">
        <f>[2]Base!M201</f>
        <v>Itaú BBA</v>
      </c>
      <c r="F201" s="174" t="str">
        <f>[2]Base!F201</f>
        <v>IPO</v>
      </c>
      <c r="G201" s="19" t="str">
        <f>[2]Base!G201</f>
        <v>ICVM 400</v>
      </c>
      <c r="H201" s="20">
        <f>[2]Base!X201</f>
        <v>40282</v>
      </c>
      <c r="I201" s="21">
        <f>[2]Base!W201</f>
        <v>11.5</v>
      </c>
      <c r="J201" s="175">
        <f>[2]Base!J201</f>
        <v>40284</v>
      </c>
      <c r="K201" s="176">
        <f>'[1]SITE (Imprensa)_PT'!K201</f>
        <v>1086</v>
      </c>
      <c r="L201" s="176">
        <f>[2]Base!DZ201</f>
        <v>1358</v>
      </c>
      <c r="M201" s="177">
        <f>[2]Base!AO201</f>
        <v>425925925.5</v>
      </c>
      <c r="N201" s="177">
        <f>[2]Base!AP201</f>
        <v>259814808</v>
      </c>
      <c r="O201" s="177">
        <f>[2]Base!AQ201</f>
        <v>685740733.5</v>
      </c>
      <c r="P201" s="177">
        <f>+[2]Base!ED201</f>
        <v>390557428.80738127</v>
      </c>
      <c r="Q201" s="157">
        <f>'[1]SITE (Imprensa)_PT'!P201</f>
        <v>3.2080729531287204E-2</v>
      </c>
      <c r="R201" s="157">
        <f>'[1]SITE (Imprensa)_PT'!Q201</f>
        <v>0.15486718859176535</v>
      </c>
      <c r="S201" s="157">
        <f>'[1]SITE (Imprensa)_PT'!R201</f>
        <v>0.77255307089031189</v>
      </c>
      <c r="T201" s="158">
        <f>'[1]SITE (Imprensa)_PT'!S201</f>
        <v>4.0499010986635518E-2</v>
      </c>
      <c r="U201" s="6"/>
    </row>
    <row r="202" spans="2:21" ht="13.2" x14ac:dyDescent="0.25">
      <c r="B202" s="40" t="str">
        <f>[2]Base!A202</f>
        <v>EVEN</v>
      </c>
      <c r="C202" s="41" t="str">
        <f>[2]Base!C202</f>
        <v>NM</v>
      </c>
      <c r="D202" s="170" t="s">
        <v>77</v>
      </c>
      <c r="E202" s="170" t="str">
        <f>[2]Base!M202</f>
        <v>Itaú BBA</v>
      </c>
      <c r="F202" s="170" t="str">
        <f>[2]Base!F202</f>
        <v>FOLLOW-ON</v>
      </c>
      <c r="G202" s="19" t="str">
        <f>[2]Base!G202</f>
        <v>ICVM 400</v>
      </c>
      <c r="H202" s="20">
        <f>[2]Base!X202</f>
        <v>40283</v>
      </c>
      <c r="I202" s="21">
        <f>[2]Base!W202</f>
        <v>6</v>
      </c>
      <c r="J202" s="171">
        <f>[2]Base!J202</f>
        <v>40287</v>
      </c>
      <c r="K202" s="172">
        <f>'[1]SITE (Imprensa)_PT'!K202</f>
        <v>2156</v>
      </c>
      <c r="L202" s="172">
        <f>[2]Base!DZ202</f>
        <v>2515</v>
      </c>
      <c r="M202" s="173">
        <f>[2]Base!AO202</f>
        <v>326000004</v>
      </c>
      <c r="N202" s="173">
        <f>[2]Base!AP202</f>
        <v>180000000</v>
      </c>
      <c r="O202" s="173">
        <f>[2]Base!AQ202</f>
        <v>506000004</v>
      </c>
      <c r="P202" s="173">
        <f>+[2]Base!ED202</f>
        <v>289192435.27461851</v>
      </c>
      <c r="Q202" s="157">
        <f>'[1]SITE (Imprensa)_PT'!P202</f>
        <v>9.9583350991435962E-2</v>
      </c>
      <c r="R202" s="157">
        <f>'[1]SITE (Imprensa)_PT'!Q202</f>
        <v>0.33255331752922279</v>
      </c>
      <c r="S202" s="157">
        <f>'[1]SITE (Imprensa)_PT'!R202</f>
        <v>0.46544233624156256</v>
      </c>
      <c r="T202" s="158">
        <f>'[1]SITE (Imprensa)_PT'!S202</f>
        <v>0.1024209952377787</v>
      </c>
      <c r="U202" s="6"/>
    </row>
    <row r="203" spans="2:21" ht="13.2" x14ac:dyDescent="0.25">
      <c r="B203" s="40" t="str">
        <f>[2]Base!A203</f>
        <v>JULIO SIMOES</v>
      </c>
      <c r="C203" s="41" t="str">
        <f>[2]Base!C203</f>
        <v>NM</v>
      </c>
      <c r="D203" s="170" t="s">
        <v>103</v>
      </c>
      <c r="E203" s="170" t="str">
        <f>[2]Base!M203</f>
        <v>Bradesco BBI</v>
      </c>
      <c r="F203" s="170" t="str">
        <f>[2]Base!F203</f>
        <v>IPO</v>
      </c>
      <c r="G203" s="19" t="str">
        <f>[2]Base!G203</f>
        <v>ICVM 400</v>
      </c>
      <c r="H203" s="20">
        <f>[2]Base!X203</f>
        <v>40287</v>
      </c>
      <c r="I203" s="21">
        <f>[2]Base!W203</f>
        <v>8</v>
      </c>
      <c r="J203" s="171">
        <f>[2]Base!J203</f>
        <v>40290</v>
      </c>
      <c r="K203" s="172">
        <f>'[1]SITE (Imprensa)_PT'!K203</f>
        <v>726</v>
      </c>
      <c r="L203" s="172">
        <f>[2]Base!DZ203</f>
        <v>989</v>
      </c>
      <c r="M203" s="173">
        <f>[2]Base!AO203</f>
        <v>477902824</v>
      </c>
      <c r="N203" s="173">
        <f>[2]Base!AP203</f>
        <v>0</v>
      </c>
      <c r="O203" s="173">
        <f>[2]Base!AQ203</f>
        <v>477902824</v>
      </c>
      <c r="P203" s="173">
        <f>+[2]Base!ED203</f>
        <v>271135154.88482922</v>
      </c>
      <c r="Q203" s="157">
        <f>'[1]SITE (Imprensa)_PT'!P203</f>
        <v>3.2331535244154344E-2</v>
      </c>
      <c r="R203" s="157">
        <f>'[1]SITE (Imprensa)_PT'!Q203</f>
        <v>0.15242885372498341</v>
      </c>
      <c r="S203" s="157">
        <f>'[1]SITE (Imprensa)_PT'!R203</f>
        <v>0.64773563340949902</v>
      </c>
      <c r="T203" s="158">
        <f>'[1]SITE (Imprensa)_PT'!S203</f>
        <v>0.16750397762136326</v>
      </c>
      <c r="U203" s="6"/>
    </row>
    <row r="204" spans="2:21" ht="13.2" x14ac:dyDescent="0.25">
      <c r="B204" s="40" t="str">
        <f>[2]Base!A204</f>
        <v>JBS</v>
      </c>
      <c r="C204" s="41" t="str">
        <f>[2]Base!C204</f>
        <v>NM</v>
      </c>
      <c r="D204" s="170" t="s">
        <v>86</v>
      </c>
      <c r="E204" s="170" t="str">
        <f>[2]Base!M204</f>
        <v>BTG Pactual</v>
      </c>
      <c r="F204" s="170" t="str">
        <f>[2]Base!F204</f>
        <v>FOLLOW-ON</v>
      </c>
      <c r="G204" s="19" t="str">
        <f>[2]Base!G204</f>
        <v>ICVM 400</v>
      </c>
      <c r="H204" s="20">
        <f>[2]Base!X204</f>
        <v>40295</v>
      </c>
      <c r="I204" s="21">
        <f>[2]Base!W204</f>
        <v>8</v>
      </c>
      <c r="J204" s="171">
        <f>[2]Base!J204</f>
        <v>40297</v>
      </c>
      <c r="K204" s="172">
        <f>'[1]SITE (Imprensa)_PT'!K204</f>
        <v>3378</v>
      </c>
      <c r="L204" s="172">
        <f>[2]Base!DZ204</f>
        <v>4070</v>
      </c>
      <c r="M204" s="173">
        <f>[2]Base!AO204</f>
        <v>1600000000</v>
      </c>
      <c r="N204" s="173">
        <f>[2]Base!AP204</f>
        <v>0</v>
      </c>
      <c r="O204" s="173">
        <f>[2]Base!AQ204</f>
        <v>1600000000</v>
      </c>
      <c r="P204" s="173">
        <f>+[2]Base!ED204</f>
        <v>923734195.48524916</v>
      </c>
      <c r="Q204" s="157">
        <f>'[1]SITE (Imprensa)_PT'!P204</f>
        <v>8.9639201493206824E-2</v>
      </c>
      <c r="R204" s="157">
        <f>'[1]SITE (Imprensa)_PT'!Q204</f>
        <v>0.56390888024805086</v>
      </c>
      <c r="S204" s="157">
        <f>'[1]SITE (Imprensa)_PT'!R204</f>
        <v>0.33928502001080957</v>
      </c>
      <c r="T204" s="158">
        <f>'[1]SITE (Imprensa)_PT'!S204</f>
        <v>7.166898247932727E-3</v>
      </c>
      <c r="U204" s="6"/>
    </row>
    <row r="205" spans="2:21" ht="13.2" x14ac:dyDescent="0.25">
      <c r="B205" s="40" t="str">
        <f>[2]Base!A205</f>
        <v>BRASIL</v>
      </c>
      <c r="C205" s="41" t="str">
        <f>[2]Base!C205</f>
        <v>NM</v>
      </c>
      <c r="D205" s="170" t="s">
        <v>67</v>
      </c>
      <c r="E205" s="170" t="str">
        <f>[2]Base!M205</f>
        <v>BB Investimentos</v>
      </c>
      <c r="F205" s="170" t="str">
        <f>[2]Base!F205</f>
        <v>FOLLOW-ON</v>
      </c>
      <c r="G205" s="19" t="str">
        <f>[2]Base!G205</f>
        <v>ICVM 400</v>
      </c>
      <c r="H205" s="20">
        <f>[2]Base!X205</f>
        <v>40359</v>
      </c>
      <c r="I205" s="21">
        <f>[2]Base!W205</f>
        <v>24.65</v>
      </c>
      <c r="J205" s="171">
        <f>[2]Base!J205</f>
        <v>40361</v>
      </c>
      <c r="K205" s="172">
        <f>'[1]SITE (Imprensa)_PT'!K205</f>
        <v>103471</v>
      </c>
      <c r="L205" s="172">
        <f>[2]Base!DZ205</f>
        <v>113502</v>
      </c>
      <c r="M205" s="173">
        <f>[2]Base!AO205</f>
        <v>7049900000</v>
      </c>
      <c r="N205" s="173">
        <f>[2]Base!AP205</f>
        <v>2711500000</v>
      </c>
      <c r="O205" s="173">
        <f>[2]Base!AQ205</f>
        <v>9761400000</v>
      </c>
      <c r="P205" s="173">
        <f>+[2]Base!ED205</f>
        <v>5488557773.4045544</v>
      </c>
      <c r="Q205" s="157">
        <f>'[1]SITE (Imprensa)_PT'!P205</f>
        <v>0.15932670707070706</v>
      </c>
      <c r="R205" s="157">
        <f>'[1]SITE (Imprensa)_PT'!Q205</f>
        <v>0.43090268686868688</v>
      </c>
      <c r="S205" s="157">
        <f>'[1]SITE (Imprensa)_PT'!R205</f>
        <v>0.3896108611111111</v>
      </c>
      <c r="T205" s="158">
        <f>'[1]SITE (Imprensa)_PT'!S205</f>
        <v>2.0159744949494948E-2</v>
      </c>
      <c r="U205" s="6"/>
    </row>
    <row r="206" spans="2:21" ht="13.2" x14ac:dyDescent="0.25">
      <c r="B206" s="40" t="str">
        <f>[2]Base!A206</f>
        <v>RENOVA</v>
      </c>
      <c r="C206" s="41" t="str">
        <f>[2]Base!C206</f>
        <v>N2</v>
      </c>
      <c r="D206" s="170" t="s">
        <v>60</v>
      </c>
      <c r="E206" s="170" t="str">
        <f>[2]Base!M206</f>
        <v>Santander</v>
      </c>
      <c r="F206" s="170" t="str">
        <f>[2]Base!F206</f>
        <v>IPO</v>
      </c>
      <c r="G206" s="19" t="str">
        <f>[2]Base!G206</f>
        <v>ICVM 400</v>
      </c>
      <c r="H206" s="20">
        <f>[2]Base!X206</f>
        <v>40367</v>
      </c>
      <c r="I206" s="21">
        <f>[2]Base!W206</f>
        <v>15</v>
      </c>
      <c r="J206" s="171">
        <f>[2]Base!J206</f>
        <v>40372</v>
      </c>
      <c r="K206" s="172">
        <f>'[1]SITE (Imprensa)_PT'!K206</f>
        <v>579</v>
      </c>
      <c r="L206" s="172">
        <f>[2]Base!DZ206</f>
        <v>619</v>
      </c>
      <c r="M206" s="173">
        <f>[2]Base!AO206</f>
        <v>160707000</v>
      </c>
      <c r="N206" s="173">
        <f>[2]Base!AP206</f>
        <v>0</v>
      </c>
      <c r="O206" s="173">
        <f>[2]Base!AQ206</f>
        <v>160707000</v>
      </c>
      <c r="P206" s="173">
        <f>+[2]Base!ED206</f>
        <v>91701569.186875895</v>
      </c>
      <c r="Q206" s="157">
        <f>'[1]SITE (Imprensa)_PT'!P206</f>
        <v>9.0320508230167268E-2</v>
      </c>
      <c r="R206" s="157">
        <f>'[1]SITE (Imprensa)_PT'!Q206</f>
        <v>0</v>
      </c>
      <c r="S206" s="157">
        <f>'[1]SITE (Imprensa)_PT'!R206</f>
        <v>1.6353938396981748E-2</v>
      </c>
      <c r="T206" s="158">
        <f>'[1]SITE (Imprensa)_PT'!S206</f>
        <v>0.89332555337285102</v>
      </c>
      <c r="U206" s="6"/>
    </row>
    <row r="207" spans="2:21" ht="13.2" x14ac:dyDescent="0.25">
      <c r="B207" s="40" t="str">
        <f>[2]Base!A207</f>
        <v>PETROBRAS</v>
      </c>
      <c r="C207" s="41" t="str">
        <f>[2]Base!C207</f>
        <v>BÁSICO</v>
      </c>
      <c r="D207" s="170" t="s">
        <v>113</v>
      </c>
      <c r="E207" s="170" t="str">
        <f>[2]Base!M207</f>
        <v>Bradesco BBI</v>
      </c>
      <c r="F207" s="170" t="str">
        <f>[2]Base!F207</f>
        <v>FOLLOW-ON</v>
      </c>
      <c r="G207" s="19" t="str">
        <f>[2]Base!G207</f>
        <v>ICVM 400</v>
      </c>
      <c r="H207" s="20">
        <f>[2]Base!X207</f>
        <v>40444</v>
      </c>
      <c r="I207" s="21">
        <f>[2]Base!W207</f>
        <v>28.158484041426377</v>
      </c>
      <c r="J207" s="171">
        <f>[2]Base!J207</f>
        <v>40448</v>
      </c>
      <c r="K207" s="172">
        <f>'[1]SITE (Imprensa)_PT'!K207</f>
        <v>104109</v>
      </c>
      <c r="L207" s="172">
        <f>[2]Base!DZ207</f>
        <v>112827</v>
      </c>
      <c r="M207" s="173">
        <f>[2]Base!AO207</f>
        <v>120248558770.3</v>
      </c>
      <c r="N207" s="173">
        <f>[2]Base!AP207</f>
        <v>0</v>
      </c>
      <c r="O207" s="173">
        <f>[2]Base!AQ207</f>
        <v>120248558770.3</v>
      </c>
      <c r="P207" s="173">
        <f>+[2]Base!ED207</f>
        <v>70320794602.514618</v>
      </c>
      <c r="Q207" s="157">
        <f>'[1]SITE (Imprensa)_PT'!P207</f>
        <v>3.2863317602476953E-2</v>
      </c>
      <c r="R207" s="157">
        <f>'[1]SITE (Imprensa)_PT'!Q207</f>
        <v>0.10250494062037488</v>
      </c>
      <c r="S207" s="157">
        <f>'[1]SITE (Imprensa)_PT'!R207</f>
        <v>0.20213876330516317</v>
      </c>
      <c r="T207" s="158">
        <f>'[1]SITE (Imprensa)_PT'!S207</f>
        <v>0.66249297847198485</v>
      </c>
      <c r="U207" s="6"/>
    </row>
    <row r="208" spans="2:21" ht="13.2" x14ac:dyDescent="0.25">
      <c r="B208" s="40" t="str">
        <f>[2]Base!A208</f>
        <v>ESTACIO PART</v>
      </c>
      <c r="C208" s="41" t="str">
        <f>[2]Base!C208</f>
        <v>NM</v>
      </c>
      <c r="D208" s="170" t="s">
        <v>93</v>
      </c>
      <c r="E208" s="170" t="str">
        <f>[2]Base!M208</f>
        <v>BTG Pactual</v>
      </c>
      <c r="F208" s="170" t="str">
        <f>[2]Base!F208</f>
        <v>FOLLOW-ON</v>
      </c>
      <c r="G208" s="19" t="str">
        <f>[2]Base!G208</f>
        <v>ICVM 400</v>
      </c>
      <c r="H208" s="20">
        <f>[2]Base!X208</f>
        <v>40451</v>
      </c>
      <c r="I208" s="21">
        <f>[2]Base!W208</f>
        <v>19</v>
      </c>
      <c r="J208" s="171">
        <f>[2]Base!J208</f>
        <v>40455</v>
      </c>
      <c r="K208" s="172">
        <f>'[1]SITE (Imprensa)_PT'!K208</f>
        <v>1173</v>
      </c>
      <c r="L208" s="172">
        <f>[2]Base!DZ208</f>
        <v>1701</v>
      </c>
      <c r="M208" s="173">
        <f>[2]Base!AO208</f>
        <v>62326156</v>
      </c>
      <c r="N208" s="173">
        <f>[2]Base!AP208</f>
        <v>623261560</v>
      </c>
      <c r="O208" s="173">
        <f>[2]Base!AQ208</f>
        <v>685587716</v>
      </c>
      <c r="P208" s="173">
        <f>+[2]Base!ED208</f>
        <v>406105743.39533234</v>
      </c>
      <c r="Q208" s="157">
        <f>'[1]SITE (Imprensa)_PT'!P208</f>
        <v>8.9730049947394336E-2</v>
      </c>
      <c r="R208" s="157">
        <f>'[1]SITE (Imprensa)_PT'!Q208</f>
        <v>0.20560347087665731</v>
      </c>
      <c r="S208" s="157">
        <f>'[1]SITE (Imprensa)_PT'!R208</f>
        <v>0.70320609128300071</v>
      </c>
      <c r="T208" s="158">
        <f>'[1]SITE (Imprensa)_PT'!S208</f>
        <v>1.4603878929476035E-3</v>
      </c>
      <c r="U208" s="6"/>
    </row>
    <row r="209" spans="1:21" ht="13.2" x14ac:dyDescent="0.25">
      <c r="B209" s="40" t="str">
        <f>[2]Base!A209</f>
        <v>HRT PETROLEO</v>
      </c>
      <c r="C209" s="41" t="str">
        <f>[2]Base!C209</f>
        <v>NM</v>
      </c>
      <c r="D209" s="174" t="s">
        <v>113</v>
      </c>
      <c r="E209" s="174" t="str">
        <f>[2]Base!M209</f>
        <v>Credit Suisse</v>
      </c>
      <c r="F209" s="174" t="str">
        <f>[2]Base!F209</f>
        <v>IPO</v>
      </c>
      <c r="G209" s="19" t="str">
        <f>[2]Base!G209</f>
        <v>ICVM 400</v>
      </c>
      <c r="H209" s="20">
        <f>[2]Base!X209</f>
        <v>40472</v>
      </c>
      <c r="I209" s="21">
        <f>[2]Base!W209</f>
        <v>1200</v>
      </c>
      <c r="J209" s="175">
        <f>[2]Base!J209</f>
        <v>40476</v>
      </c>
      <c r="K209" s="176">
        <f>'[1]SITE (Imprensa)_PT'!K209</f>
        <v>127</v>
      </c>
      <c r="L209" s="176">
        <f>[2]Base!DZ209</f>
        <v>646</v>
      </c>
      <c r="M209" s="177">
        <f>[2]Base!AO209</f>
        <v>2474746800</v>
      </c>
      <c r="N209" s="177">
        <f>[2]Base!AP209</f>
        <v>6253200</v>
      </c>
      <c r="O209" s="177">
        <f>[2]Base!AQ209</f>
        <v>2481000000</v>
      </c>
      <c r="P209" s="177">
        <f>+[2]Base!ED209</f>
        <v>1457183131.6809585</v>
      </c>
      <c r="Q209" s="157">
        <f>'[1]SITE (Imprensa)_PT'!P209</f>
        <v>2.0300411522633746E-2</v>
      </c>
      <c r="R209" s="157">
        <f>'[1]SITE (Imprensa)_PT'!Q209</f>
        <v>0.12973159579332419</v>
      </c>
      <c r="S209" s="157">
        <f>'[1]SITE (Imprensa)_PT'!R209</f>
        <v>0.84932784636488345</v>
      </c>
      <c r="T209" s="158">
        <f>'[1]SITE (Imprensa)_PT'!S209</f>
        <v>6.4014631915866485E-4</v>
      </c>
      <c r="U209" s="6"/>
    </row>
    <row r="210" spans="1:21" ht="13.2" x14ac:dyDescent="0.25">
      <c r="B210" s="40" t="str">
        <f>[2]Base!A210</f>
        <v>LOPES BRASIL</v>
      </c>
      <c r="C210" s="41" t="str">
        <f>[2]Base!C210</f>
        <v>NM</v>
      </c>
      <c r="D210" s="174" t="s">
        <v>82</v>
      </c>
      <c r="E210" s="174" t="str">
        <f>[2]Base!M210</f>
        <v>Itaú BBA</v>
      </c>
      <c r="F210" s="174" t="str">
        <f>[2]Base!F210</f>
        <v>FOLLOW-ON</v>
      </c>
      <c r="G210" s="19" t="str">
        <f>[2]Base!G210</f>
        <v>ICVM 400</v>
      </c>
      <c r="H210" s="20">
        <f>[2]Base!X210</f>
        <v>40472</v>
      </c>
      <c r="I210" s="21">
        <f>[2]Base!W210</f>
        <v>37.51</v>
      </c>
      <c r="J210" s="171">
        <f>[2]Base!J210</f>
        <v>40476</v>
      </c>
      <c r="K210" s="172">
        <f>'[1]SITE (Imprensa)_PT'!K210</f>
        <v>2035</v>
      </c>
      <c r="L210" s="172">
        <f>[2]Base!DZ210</f>
        <v>2215</v>
      </c>
      <c r="M210" s="173">
        <f>[2]Base!AO210</f>
        <v>207055200</v>
      </c>
      <c r="N210" s="173">
        <f>[2]Base!AP210</f>
        <v>0</v>
      </c>
      <c r="O210" s="173">
        <f>[2]Base!AQ210</f>
        <v>207055200</v>
      </c>
      <c r="P210" s="173">
        <f>+[2]Base!ED210</f>
        <v>121611182.89674616</v>
      </c>
      <c r="Q210" s="157">
        <f>'[1]SITE (Imprensa)_PT'!P210</f>
        <v>8.5058695652173902E-2</v>
      </c>
      <c r="R210" s="157">
        <f>'[1]SITE (Imprensa)_PT'!Q210</f>
        <v>0.26343079710144923</v>
      </c>
      <c r="S210" s="157">
        <f>'[1]SITE (Imprensa)_PT'!R210</f>
        <v>0.64918115942028976</v>
      </c>
      <c r="T210" s="158">
        <f>'[1]SITE (Imprensa)_PT'!S210</f>
        <v>2.3293478260869565E-3</v>
      </c>
      <c r="U210" s="6"/>
    </row>
    <row r="211" spans="1:21" ht="13.2" x14ac:dyDescent="0.25">
      <c r="B211" s="40" t="str">
        <f>[2]Base!A211</f>
        <v>BR INSURANCE</v>
      </c>
      <c r="C211" s="41" t="str">
        <f>[2]Base!C211</f>
        <v>NM</v>
      </c>
      <c r="D211" s="19" t="s">
        <v>64</v>
      </c>
      <c r="E211" s="2" t="str">
        <f>[2]Base!M211</f>
        <v>Morgan Stanley</v>
      </c>
      <c r="F211" s="195" t="str">
        <f>[2]Base!F211</f>
        <v>IPO</v>
      </c>
      <c r="G211" s="19" t="str">
        <f>[2]Base!G211</f>
        <v>ICVM 400</v>
      </c>
      <c r="H211" s="20">
        <f>[2]Base!X211</f>
        <v>40479</v>
      </c>
      <c r="I211" s="187">
        <f>[2]Base!W211</f>
        <v>1350</v>
      </c>
      <c r="J211" s="188">
        <f>[2]Base!J211</f>
        <v>40483</v>
      </c>
      <c r="K211" s="189">
        <f>'[1]SITE (Imprensa)_PT'!K211</f>
        <v>70</v>
      </c>
      <c r="L211" s="189">
        <f>[2]Base!DZ211</f>
        <v>472</v>
      </c>
      <c r="M211" s="190">
        <f>[2]Base!AO211</f>
        <v>348097500</v>
      </c>
      <c r="N211" s="190">
        <f>[2]Base!AP211</f>
        <v>296527500</v>
      </c>
      <c r="O211" s="190">
        <f>[2]Base!AQ211</f>
        <v>644625000</v>
      </c>
      <c r="P211" s="190">
        <f>+[2]Base!ED211</f>
        <v>378212274.11405778</v>
      </c>
      <c r="Q211" s="191">
        <f>'[1]SITE (Imprensa)_PT'!P211</f>
        <v>4.862198952879581E-2</v>
      </c>
      <c r="R211" s="157">
        <f>'[1]SITE (Imprensa)_PT'!Q211</f>
        <v>0.15247748691099478</v>
      </c>
      <c r="S211" s="157">
        <f>'[1]SITE (Imprensa)_PT'!R211</f>
        <v>0.79890052356020946</v>
      </c>
      <c r="T211" s="158">
        <f>'[1]SITE (Imprensa)_PT'!S211</f>
        <v>0</v>
      </c>
      <c r="U211" s="6"/>
    </row>
    <row r="212" spans="1:21" ht="13.2" x14ac:dyDescent="0.25">
      <c r="B212" s="178" t="str">
        <f>[2]Base!A212</f>
        <v>ANHANGUERA</v>
      </c>
      <c r="C212" s="74" t="str">
        <f>[2]Base!C212</f>
        <v>NM</v>
      </c>
      <c r="D212" s="19" t="s">
        <v>93</v>
      </c>
      <c r="E212" s="2" t="str">
        <f>[2]Base!M212</f>
        <v>Itaú BBA</v>
      </c>
      <c r="F212" s="174" t="str">
        <f>[2]Base!F212</f>
        <v>FOLLOW-ON</v>
      </c>
      <c r="G212" s="19" t="str">
        <f>[2]Base!G212</f>
        <v>ICVM 400</v>
      </c>
      <c r="H212" s="20">
        <f>[2]Base!X212</f>
        <v>40521</v>
      </c>
      <c r="I212" s="187">
        <f>[2]Base!W212</f>
        <v>36.700000000000003</v>
      </c>
      <c r="J212" s="188">
        <f>[2]Base!J212</f>
        <v>40525</v>
      </c>
      <c r="K212" s="189">
        <f>'[1]SITE (Imprensa)_PT'!K212</f>
        <v>2124</v>
      </c>
      <c r="L212" s="189">
        <f>[2]Base!DZ212</f>
        <v>2484</v>
      </c>
      <c r="M212" s="190">
        <f>[2]Base!AO212</f>
        <v>844100000</v>
      </c>
      <c r="N212" s="190">
        <f>[2]Base!AP212</f>
        <v>0</v>
      </c>
      <c r="O212" s="190">
        <f>[2]Base!AQ212</f>
        <v>844100000</v>
      </c>
      <c r="P212" s="190">
        <f>+[2]Base!ED212</f>
        <v>495742056.73342335</v>
      </c>
      <c r="Q212" s="191">
        <f>'[1]SITE (Imprensa)_PT'!P212</f>
        <v>8.5455130434782603E-2</v>
      </c>
      <c r="R212" s="157">
        <f>'[1]SITE (Imprensa)_PT'!Q212</f>
        <v>0.16158069565217387</v>
      </c>
      <c r="S212" s="157">
        <f>'[1]SITE (Imprensa)_PT'!R212</f>
        <v>0.75078617391304348</v>
      </c>
      <c r="T212" s="158">
        <f>'[1]SITE (Imprensa)_PT'!S212</f>
        <v>2.1779999999999998E-3</v>
      </c>
      <c r="U212" s="6"/>
    </row>
    <row r="213" spans="1:21" ht="13.8" thickBot="1" x14ac:dyDescent="0.3">
      <c r="B213" s="30" t="str">
        <f>[2]Base!A213</f>
        <v>RAIA</v>
      </c>
      <c r="C213" s="31" t="str">
        <f>[2]Base!C213</f>
        <v>NM</v>
      </c>
      <c r="D213" s="31" t="s">
        <v>98</v>
      </c>
      <c r="E213" s="31" t="str">
        <f>[2]Base!M213</f>
        <v>Itaú BBA</v>
      </c>
      <c r="F213" s="31" t="str">
        <f>[2]Base!F213</f>
        <v>IPO</v>
      </c>
      <c r="G213" s="31" t="str">
        <f>[2]Base!G213</f>
        <v>ICVM 400</v>
      </c>
      <c r="H213" s="32">
        <f>[2]Base!X213</f>
        <v>40528</v>
      </c>
      <c r="I213" s="33">
        <f>[2]Base!W213</f>
        <v>24</v>
      </c>
      <c r="J213" s="65">
        <f>[2]Base!J213</f>
        <v>40532</v>
      </c>
      <c r="K213" s="66">
        <f>'[1]SITE (Imprensa)_PT'!K213</f>
        <v>6672</v>
      </c>
      <c r="L213" s="66">
        <f>[2]Base!DZ213</f>
        <v>7477</v>
      </c>
      <c r="M213" s="67">
        <f>[2]Base!AO213</f>
        <v>525655800</v>
      </c>
      <c r="N213" s="67">
        <f>[2]Base!AP213</f>
        <v>129041880</v>
      </c>
      <c r="O213" s="67">
        <f>[2]Base!AQ213</f>
        <v>654697680</v>
      </c>
      <c r="P213" s="67">
        <f>+[2]Base!ED213</f>
        <v>383267579.90867579</v>
      </c>
      <c r="Q213" s="159">
        <f>'[1]SITE (Imprensa)_PT'!P213</f>
        <v>8.561534539117352E-2</v>
      </c>
      <c r="R213" s="159">
        <f>'[1]SITE (Imprensa)_PT'!Q213</f>
        <v>0.26465674966192027</v>
      </c>
      <c r="S213" s="159">
        <f>'[1]SITE (Imprensa)_PT'!R213</f>
        <v>0.6480352519349083</v>
      </c>
      <c r="T213" s="160">
        <f>'[1]SITE (Imprensa)_PT'!S213</f>
        <v>1.6926530119978429E-3</v>
      </c>
      <c r="U213" s="6"/>
    </row>
    <row r="214" spans="1:21" ht="13.8" thickTop="1" x14ac:dyDescent="0.25">
      <c r="B214" s="40" t="str">
        <f>[2]Base!A214</f>
        <v xml:space="preserve">AREZZO CO </v>
      </c>
      <c r="C214" s="41" t="str">
        <f>[2]Base!C214</f>
        <v>NM</v>
      </c>
      <c r="D214" s="41" t="s">
        <v>109</v>
      </c>
      <c r="E214" s="41" t="str">
        <f>[2]Base!M214</f>
        <v>Itaú BBA</v>
      </c>
      <c r="F214" s="41" t="str">
        <f>[2]Base!F214</f>
        <v>IPO</v>
      </c>
      <c r="G214" s="41" t="str">
        <f>[2]Base!G214</f>
        <v>ICVM 400</v>
      </c>
      <c r="H214" s="42">
        <f>[2]Base!X214</f>
        <v>40574</v>
      </c>
      <c r="I214" s="43">
        <f>[2]Base!W214</f>
        <v>19</v>
      </c>
      <c r="J214" s="77">
        <f>[2]Base!J214</f>
        <v>40576</v>
      </c>
      <c r="K214" s="196">
        <f>'[1]SITE (Imprensa)_PT'!K214</f>
        <v>8992</v>
      </c>
      <c r="L214" s="196">
        <f>[2]Base!DZ214</f>
        <v>9799</v>
      </c>
      <c r="M214" s="80">
        <f>[2]Base!AO214</f>
        <v>195588242</v>
      </c>
      <c r="N214" s="80">
        <f>[2]Base!AP214</f>
        <v>370220605</v>
      </c>
      <c r="O214" s="80">
        <f>[2]Base!AQ214</f>
        <v>565808847</v>
      </c>
      <c r="P214" s="80">
        <f>+[2]Base!ED214</f>
        <v>339397064.96310961</v>
      </c>
      <c r="Q214" s="161">
        <f>'[1]SITE (Imprensa)_PT'!P214</f>
        <v>7.5768283276772444E-2</v>
      </c>
      <c r="R214" s="161">
        <f>'[1]SITE (Imprensa)_PT'!Q214</f>
        <v>0.22417204798496196</v>
      </c>
      <c r="S214" s="161">
        <f>'[1]SITE (Imprensa)_PT'!R214</f>
        <v>0.69878059718638508</v>
      </c>
      <c r="T214" s="162">
        <f>'[1]SITE (Imprensa)_PT'!S214</f>
        <v>1.2790715518804887E-3</v>
      </c>
      <c r="U214" s="6"/>
    </row>
    <row r="215" spans="1:21" ht="13.2" x14ac:dyDescent="0.25">
      <c r="B215" s="40" t="str">
        <f>[2]Base!A215</f>
        <v xml:space="preserve">SIERRABRASIL </v>
      </c>
      <c r="C215" s="41" t="str">
        <f>[2]Base!C215</f>
        <v>NM</v>
      </c>
      <c r="D215" s="19" t="s">
        <v>82</v>
      </c>
      <c r="E215" s="2" t="str">
        <f>[2]Base!M215</f>
        <v>Credit Suisse</v>
      </c>
      <c r="F215" s="170" t="str">
        <f>[2]Base!F215</f>
        <v>IPO</v>
      </c>
      <c r="G215" s="2" t="str">
        <f>[2]Base!G215</f>
        <v>ICVM 400</v>
      </c>
      <c r="H215" s="20">
        <f>[2]Base!X215</f>
        <v>40575</v>
      </c>
      <c r="I215" s="187">
        <f>[2]Base!W215</f>
        <v>20</v>
      </c>
      <c r="J215" s="188">
        <f>[2]Base!J215</f>
        <v>40577</v>
      </c>
      <c r="K215" s="189">
        <f>'[1]SITE (Imprensa)_PT'!K215</f>
        <v>3389</v>
      </c>
      <c r="L215" s="189">
        <f>[2]Base!DZ215</f>
        <v>3739</v>
      </c>
      <c r="M215" s="190">
        <f>[2]Base!AO215</f>
        <v>465020860</v>
      </c>
      <c r="N215" s="190">
        <f>[2]Base!AP215</f>
        <v>0</v>
      </c>
      <c r="O215" s="190">
        <f>[2]Base!AQ215</f>
        <v>465020860</v>
      </c>
      <c r="P215" s="190">
        <f>+[2]Base!ED215</f>
        <v>278505635.74294782</v>
      </c>
      <c r="Q215" s="191">
        <f>'[1]SITE (Imprensa)_PT'!P215</f>
        <v>8.8000427214554006E-2</v>
      </c>
      <c r="R215" s="157">
        <f>'[1]SITE (Imprensa)_PT'!Q215</f>
        <v>0.35426214890342478</v>
      </c>
      <c r="S215" s="157">
        <f>'[1]SITE (Imprensa)_PT'!R215</f>
        <v>0.55478970200488498</v>
      </c>
      <c r="T215" s="158">
        <f>'[1]SITE (Imprensa)_PT'!S215</f>
        <v>2.9477218771362559E-3</v>
      </c>
      <c r="U215" s="6"/>
    </row>
    <row r="216" spans="1:21" ht="13.2" x14ac:dyDescent="0.25">
      <c r="B216" s="40" t="str">
        <f>[2]Base!A216</f>
        <v xml:space="preserve">TECNISA </v>
      </c>
      <c r="C216" s="41" t="str">
        <f>[2]Base!C216</f>
        <v>NM</v>
      </c>
      <c r="D216" s="19" t="s">
        <v>114</v>
      </c>
      <c r="E216" s="2" t="str">
        <f>[2]Base!M216</f>
        <v>Itaú BBA</v>
      </c>
      <c r="F216" s="174" t="str">
        <f>[2]Base!F216</f>
        <v>FOLLOW-ON</v>
      </c>
      <c r="G216" s="19" t="str">
        <f>[2]Base!G216</f>
        <v>ICVM 400</v>
      </c>
      <c r="H216" s="20">
        <f>[2]Base!X216</f>
        <v>40575</v>
      </c>
      <c r="I216" s="187">
        <f>[2]Base!W216</f>
        <v>10</v>
      </c>
      <c r="J216" s="188">
        <f>[2]Base!J216</f>
        <v>40577</v>
      </c>
      <c r="K216" s="189">
        <f>'[1]SITE (Imprensa)_PT'!K216</f>
        <v>2391</v>
      </c>
      <c r="L216" s="189">
        <f>[2]Base!DZ216</f>
        <v>2665</v>
      </c>
      <c r="M216" s="190">
        <f>[2]Base!AO216</f>
        <v>398305000</v>
      </c>
      <c r="N216" s="190">
        <f>[2]Base!AP216</f>
        <v>0</v>
      </c>
      <c r="O216" s="190">
        <f>[2]Base!AQ216</f>
        <v>398305000</v>
      </c>
      <c r="P216" s="190">
        <f>+[2]Base!ED216</f>
        <v>238548841.10918128</v>
      </c>
      <c r="Q216" s="191">
        <f>'[1]SITE (Imprensa)_PT'!P216</f>
        <v>8.9707391304347822E-2</v>
      </c>
      <c r="R216" s="157">
        <f>'[1]SITE (Imprensa)_PT'!Q216</f>
        <v>0.39460777777777778</v>
      </c>
      <c r="S216" s="157">
        <f>'[1]SITE (Imprensa)_PT'!R216</f>
        <v>0.5134309178743961</v>
      </c>
      <c r="T216" s="158">
        <f>'[1]SITE (Imprensa)_PT'!S216</f>
        <v>2.2539130434782607E-3</v>
      </c>
      <c r="U216" s="6"/>
    </row>
    <row r="217" spans="1:21" ht="13.2" x14ac:dyDescent="0.25">
      <c r="B217" s="40" t="str">
        <f>[2]Base!A217</f>
        <v xml:space="preserve">AUTOMETAL </v>
      </c>
      <c r="C217" s="41" t="str">
        <f>[2]Base!C217</f>
        <v>NM</v>
      </c>
      <c r="D217" s="19" t="s">
        <v>115</v>
      </c>
      <c r="E217" s="2" t="str">
        <f>[2]Base!M217</f>
        <v>Santander</v>
      </c>
      <c r="F217" s="174" t="str">
        <f>[2]Base!F217</f>
        <v>IPO</v>
      </c>
      <c r="G217" s="19" t="str">
        <f>[2]Base!G217</f>
        <v>ICVM 400</v>
      </c>
      <c r="H217" s="20">
        <f>[2]Base!X217</f>
        <v>40577</v>
      </c>
      <c r="I217" s="187">
        <f>[2]Base!W217</f>
        <v>14</v>
      </c>
      <c r="J217" s="188">
        <f>[2]Base!J217</f>
        <v>40581</v>
      </c>
      <c r="K217" s="189">
        <f>'[1]SITE (Imprensa)_PT'!K217</f>
        <v>3545</v>
      </c>
      <c r="L217" s="189">
        <f>[2]Base!DZ217</f>
        <v>3837</v>
      </c>
      <c r="M217" s="190">
        <f>[2]Base!AO217</f>
        <v>440752200</v>
      </c>
      <c r="N217" s="190">
        <f>[2]Base!AP217</f>
        <v>13559420</v>
      </c>
      <c r="O217" s="190">
        <f>[2]Base!AQ217</f>
        <v>454311620</v>
      </c>
      <c r="P217" s="190">
        <f>+[2]Base!ED217</f>
        <v>270810455.41249406</v>
      </c>
      <c r="Q217" s="191">
        <f>'[1]SITE (Imprensa)_PT'!P217</f>
        <v>8.6564052008444567E-2</v>
      </c>
      <c r="R217" s="157">
        <f>'[1]SITE (Imprensa)_PT'!Q217</f>
        <v>0.13552680250634339</v>
      </c>
      <c r="S217" s="157">
        <f>'[1]SITE (Imprensa)_PT'!R217</f>
        <v>0.63921363606043569</v>
      </c>
      <c r="T217" s="158">
        <f>'[1]SITE (Imprensa)_PT'!S217</f>
        <v>0.13869550942477635</v>
      </c>
      <c r="U217" s="6"/>
    </row>
    <row r="218" spans="1:21" ht="13.2" x14ac:dyDescent="0.25">
      <c r="B218" s="40" t="str">
        <f>[2]Base!A218</f>
        <v xml:space="preserve">BR BROKERS </v>
      </c>
      <c r="C218" s="41" t="str">
        <f>[2]Base!C218</f>
        <v>NM</v>
      </c>
      <c r="D218" s="19" t="s">
        <v>116</v>
      </c>
      <c r="E218" s="2" t="str">
        <f>[2]Base!M218</f>
        <v>Credit Suisse</v>
      </c>
      <c r="F218" s="170" t="str">
        <f>[2]Base!F218</f>
        <v>FOLLOW-ON</v>
      </c>
      <c r="G218" s="19" t="str">
        <f>[2]Base!G218</f>
        <v>ICVM 400</v>
      </c>
      <c r="H218" s="20">
        <f>[2]Base!X218</f>
        <v>40577</v>
      </c>
      <c r="I218" s="187">
        <f>[2]Base!W218</f>
        <v>7.9</v>
      </c>
      <c r="J218" s="188">
        <f>[2]Base!J218</f>
        <v>40581</v>
      </c>
      <c r="K218" s="189">
        <f>'[1]SITE (Imprensa)_PT'!K218</f>
        <v>2729</v>
      </c>
      <c r="L218" s="189">
        <f>[2]Base!DZ218</f>
        <v>2874</v>
      </c>
      <c r="M218" s="190">
        <f>[2]Base!AO218</f>
        <v>189303552.5</v>
      </c>
      <c r="N218" s="190">
        <f>[2]Base!AP218</f>
        <v>0</v>
      </c>
      <c r="O218" s="190">
        <f>[2]Base!AQ218</f>
        <v>189303552.5</v>
      </c>
      <c r="P218" s="190">
        <f>+[2]Base!ED218</f>
        <v>112841888.710062</v>
      </c>
      <c r="Q218" s="191">
        <f>'[1]SITE (Imprensa)_PT'!P218</f>
        <v>8.6013693015649026E-2</v>
      </c>
      <c r="R218" s="157">
        <f>'[1]SITE (Imprensa)_PT'!Q218</f>
        <v>9.8390440492742148E-2</v>
      </c>
      <c r="S218" s="157">
        <f>'[1]SITE (Imprensa)_PT'!R218</f>
        <v>0.81355158003586503</v>
      </c>
      <c r="T218" s="158">
        <f>'[1]SITE (Imprensa)_PT'!S218</f>
        <v>2.0442864557438122E-3</v>
      </c>
      <c r="U218" s="6"/>
    </row>
    <row r="219" spans="1:21" ht="13.2" x14ac:dyDescent="0.25">
      <c r="B219" s="40" t="str">
        <f>[2]Base!A219</f>
        <v xml:space="preserve">QGEP PART </v>
      </c>
      <c r="C219" s="41" t="str">
        <f>[2]Base!C219</f>
        <v>NM</v>
      </c>
      <c r="D219" s="19" t="s">
        <v>117</v>
      </c>
      <c r="E219" s="2" t="str">
        <f>[2]Base!M219</f>
        <v>Itaú BBA</v>
      </c>
      <c r="F219" s="170" t="str">
        <f>[2]Base!F219</f>
        <v>IPO</v>
      </c>
      <c r="G219" s="19" t="str">
        <f>[2]Base!G219</f>
        <v>ICVM 400</v>
      </c>
      <c r="H219" s="20">
        <f>[2]Base!X219</f>
        <v>40581</v>
      </c>
      <c r="I219" s="187">
        <f>[2]Base!W219</f>
        <v>19</v>
      </c>
      <c r="J219" s="188">
        <f>[2]Base!J219</f>
        <v>40583</v>
      </c>
      <c r="K219" s="189">
        <f>'[1]SITE (Imprensa)_PT'!K219</f>
        <v>8896</v>
      </c>
      <c r="L219" s="189">
        <f>[2]Base!DZ219</f>
        <v>9722</v>
      </c>
      <c r="M219" s="190">
        <f>[2]Base!AO219</f>
        <v>1515079361</v>
      </c>
      <c r="N219" s="190">
        <f>[2]Base!AP219</f>
        <v>0</v>
      </c>
      <c r="O219" s="190">
        <f>[2]Base!AQ219</f>
        <v>1515079361</v>
      </c>
      <c r="P219" s="190">
        <f>+[2]Base!ED219</f>
        <v>910340299.82575262</v>
      </c>
      <c r="Q219" s="191">
        <f>'[1]SITE (Imprensa)_PT'!P219</f>
        <v>0.12466858493493795</v>
      </c>
      <c r="R219" s="157">
        <f>'[1]SITE (Imprensa)_PT'!Q219</f>
        <v>0.14722146954254497</v>
      </c>
      <c r="S219" s="157">
        <f>'[1]SITE (Imprensa)_PT'!R219</f>
        <v>0.72067911497343673</v>
      </c>
      <c r="T219" s="158">
        <f>'[1]SITE (Imprensa)_PT'!S219</f>
        <v>7.4308305490803925E-3</v>
      </c>
      <c r="U219" s="6"/>
    </row>
    <row r="220" spans="1:21" ht="13.2" x14ac:dyDescent="0.25">
      <c r="A220" s="50"/>
      <c r="B220" s="40" t="str">
        <f>[2]Base!A220</f>
        <v>DIRECIONAL</v>
      </c>
      <c r="C220" s="41" t="str">
        <f>[2]Base!C220</f>
        <v>NM</v>
      </c>
      <c r="D220" s="19" t="s">
        <v>77</v>
      </c>
      <c r="E220" s="2" t="str">
        <f>[2]Base!M220</f>
        <v>Itaú BBA</v>
      </c>
      <c r="F220" s="170" t="str">
        <f>[2]Base!F220</f>
        <v>FOLLOW-ON</v>
      </c>
      <c r="G220" s="19" t="str">
        <f>[2]Base!G220</f>
        <v>ICVM 400</v>
      </c>
      <c r="H220" s="20">
        <f>[2]Base!X220</f>
        <v>40583</v>
      </c>
      <c r="I220" s="187">
        <f>[2]Base!W220</f>
        <v>11</v>
      </c>
      <c r="J220" s="188">
        <f>[2]Base!J220</f>
        <v>40585</v>
      </c>
      <c r="K220" s="189">
        <f>'[1]SITE (Imprensa)_PT'!K220</f>
        <v>1162</v>
      </c>
      <c r="L220" s="189">
        <f>[2]Base!DZ220</f>
        <v>1336</v>
      </c>
      <c r="M220" s="190">
        <f>[2]Base!AO220</f>
        <v>228800000</v>
      </c>
      <c r="N220" s="190">
        <f>[2]Base!AP220</f>
        <v>79200000</v>
      </c>
      <c r="O220" s="190">
        <f>[2]Base!AQ220</f>
        <v>308000000</v>
      </c>
      <c r="P220" s="190">
        <f>+[2]Base!ED220</f>
        <v>184663349.12164998</v>
      </c>
      <c r="Q220" s="191">
        <f>'[1]SITE (Imprensa)_PT'!P220</f>
        <v>0.10623077922077923</v>
      </c>
      <c r="R220" s="157">
        <f>'[1]SITE (Imprensa)_PT'!Q220</f>
        <v>8.482467532467533E-2</v>
      </c>
      <c r="S220" s="157">
        <f>'[1]SITE (Imprensa)_PT'!R220</f>
        <v>0.80692808441558439</v>
      </c>
      <c r="T220" s="158">
        <f>'[1]SITE (Imprensa)_PT'!S220</f>
        <v>2.016461038961039E-3</v>
      </c>
      <c r="U220" s="6"/>
    </row>
    <row r="221" spans="1:21" ht="13.2" x14ac:dyDescent="0.25">
      <c r="B221" s="40" t="str">
        <f>[2]Base!A221</f>
        <v>MAGNESITA SA</v>
      </c>
      <c r="C221" s="41" t="str">
        <f>[2]Base!C221</f>
        <v>NM</v>
      </c>
      <c r="D221" s="19" t="s">
        <v>108</v>
      </c>
      <c r="E221" s="2" t="str">
        <f>[2]Base!M221</f>
        <v>Itaú BBA</v>
      </c>
      <c r="F221" s="170" t="str">
        <f>[2]Base!F221</f>
        <v>FOLLOW-ON</v>
      </c>
      <c r="G221" s="19" t="str">
        <f>[2]Base!G221</f>
        <v>ICVM 400</v>
      </c>
      <c r="H221" s="20">
        <f>[2]Base!X221</f>
        <v>40585</v>
      </c>
      <c r="I221" s="187">
        <f>[2]Base!W221</f>
        <v>8.25</v>
      </c>
      <c r="J221" s="188">
        <f>[2]Base!J221</f>
        <v>40589</v>
      </c>
      <c r="K221" s="189">
        <f>'[1]SITE (Imprensa)_PT'!K221</f>
        <v>1620</v>
      </c>
      <c r="L221" s="189">
        <f>[2]Base!DZ221</f>
        <v>1822</v>
      </c>
      <c r="M221" s="190">
        <f>[2]Base!AO221</f>
        <v>278602500</v>
      </c>
      <c r="N221" s="190">
        <f>[2]Base!AP221</f>
        <v>0</v>
      </c>
      <c r="O221" s="190">
        <f>[2]Base!AQ221</f>
        <v>278602500</v>
      </c>
      <c r="P221" s="190">
        <f>+[2]Base!ED221</f>
        <v>167007852.77544659</v>
      </c>
      <c r="Q221" s="191">
        <f>'[1]SITE (Imprensa)_PT'!P221</f>
        <v>0.12608430559668346</v>
      </c>
      <c r="R221" s="157">
        <f>'[1]SITE (Imprensa)_PT'!Q221</f>
        <v>0.34393180337577733</v>
      </c>
      <c r="S221" s="157">
        <f>'[1]SITE (Imprensa)_PT'!R221</f>
        <v>0.52754006514657981</v>
      </c>
      <c r="T221" s="158">
        <f>'[1]SITE (Imprensa)_PT'!S221</f>
        <v>2.4438258809594314E-3</v>
      </c>
      <c r="U221" s="6"/>
    </row>
    <row r="222" spans="1:21" ht="13.2" x14ac:dyDescent="0.25">
      <c r="B222" s="40" t="str">
        <f>[2]Base!A222</f>
        <v>IMC HOLDINGS</v>
      </c>
      <c r="C222" s="41" t="str">
        <f>[2]Base!C222</f>
        <v>NM</v>
      </c>
      <c r="D222" s="19" t="s">
        <v>118</v>
      </c>
      <c r="E222" s="2" t="str">
        <f>[2]Base!M222</f>
        <v>BTG Pactual</v>
      </c>
      <c r="F222" s="170" t="str">
        <f>[2]Base!F222</f>
        <v>IPO</v>
      </c>
      <c r="G222" s="19" t="str">
        <f>[2]Base!G222</f>
        <v>ICVM 400</v>
      </c>
      <c r="H222" s="20">
        <f>[2]Base!X222</f>
        <v>40605</v>
      </c>
      <c r="I222" s="187">
        <f>[2]Base!W222</f>
        <v>13.5</v>
      </c>
      <c r="J222" s="188">
        <f>[2]Base!J222</f>
        <v>40611</v>
      </c>
      <c r="K222" s="189">
        <f>'[1]SITE (Imprensa)_PT'!K222</f>
        <v>669</v>
      </c>
      <c r="L222" s="189">
        <f>[2]Base!DZ222</f>
        <v>775</v>
      </c>
      <c r="M222" s="190">
        <f>[2]Base!AO222</f>
        <v>320515987.5</v>
      </c>
      <c r="N222" s="190">
        <f>[2]Base!AP222</f>
        <v>133079733</v>
      </c>
      <c r="O222" s="190">
        <f>[2]Base!AQ222</f>
        <v>453595720.5</v>
      </c>
      <c r="P222" s="190">
        <f>+[2]Base!ED222</f>
        <v>273927000.72468144</v>
      </c>
      <c r="Q222" s="191">
        <f>'[1]SITE (Imprensa)_PT'!P222</f>
        <v>2.6061733975287802E-2</v>
      </c>
      <c r="R222" s="157">
        <f>'[1]SITE (Imprensa)_PT'!Q222</f>
        <v>4.086136765040313E-2</v>
      </c>
      <c r="S222" s="157">
        <f>'[1]SITE (Imprensa)_PT'!R222</f>
        <v>0.93203641236734291</v>
      </c>
      <c r="T222" s="158">
        <f>'[1]SITE (Imprensa)_PT'!S222</f>
        <v>1.0404860069661967E-3</v>
      </c>
      <c r="U222" s="6"/>
    </row>
    <row r="223" spans="1:21" ht="13.2" x14ac:dyDescent="0.25">
      <c r="B223" s="40" t="str">
        <f>[2]Base!A223</f>
        <v>TIME FOR FUN</v>
      </c>
      <c r="C223" s="41" t="str">
        <f>[2]Base!C223</f>
        <v>NM</v>
      </c>
      <c r="D223" s="19" t="s">
        <v>119</v>
      </c>
      <c r="E223" s="2" t="str">
        <f>[2]Base!M223</f>
        <v>Credit Suisse</v>
      </c>
      <c r="F223" s="170" t="str">
        <f>[2]Base!F223</f>
        <v>IPO</v>
      </c>
      <c r="G223" s="19" t="str">
        <f>[2]Base!G223</f>
        <v>ICVM 400</v>
      </c>
      <c r="H223" s="20">
        <f>[2]Base!X223</f>
        <v>40644</v>
      </c>
      <c r="I223" s="187">
        <f>[2]Base!W223</f>
        <v>16</v>
      </c>
      <c r="J223" s="188">
        <f>[2]Base!J223</f>
        <v>40646</v>
      </c>
      <c r="K223" s="189">
        <f>'[1]SITE (Imprensa)_PT'!K223</f>
        <v>900</v>
      </c>
      <c r="L223" s="189">
        <f>[2]Base!DZ223</f>
        <v>1041</v>
      </c>
      <c r="M223" s="190">
        <f>[2]Base!AO223</f>
        <v>187586208</v>
      </c>
      <c r="N223" s="190">
        <f>[2]Base!AP223</f>
        <v>315476128</v>
      </c>
      <c r="O223" s="190">
        <f>[2]Base!AQ223</f>
        <v>503062336</v>
      </c>
      <c r="P223" s="190">
        <f>+[2]Base!ED223</f>
        <v>317109389.81341404</v>
      </c>
      <c r="Q223" s="191">
        <f>'[1]SITE (Imprensa)_PT'!P223</f>
        <v>3.9950934669273609E-2</v>
      </c>
      <c r="R223" s="157">
        <f>'[1]SITE (Imprensa)_PT'!Q223</f>
        <v>5.0783762468071814E-2</v>
      </c>
      <c r="S223" s="157">
        <f>'[1]SITE (Imprensa)_PT'!R223</f>
        <v>0.90842230029131132</v>
      </c>
      <c r="T223" s="158">
        <f>'[1]SITE (Imprensa)_PT'!S223</f>
        <v>8.4300257134326461E-4</v>
      </c>
      <c r="U223" s="6"/>
    </row>
    <row r="224" spans="1:21" ht="13.2" x14ac:dyDescent="0.25">
      <c r="B224" s="40" t="str">
        <f>[2]Base!A224</f>
        <v>GERDAU</v>
      </c>
      <c r="C224" s="41" t="str">
        <f>[2]Base!C224</f>
        <v>N1</v>
      </c>
      <c r="D224" s="19" t="s">
        <v>65</v>
      </c>
      <c r="E224" s="74" t="str">
        <f>[2]Base!M224</f>
        <v>BTG Pactual</v>
      </c>
      <c r="F224" s="197" t="str">
        <f>[2]Base!F224</f>
        <v>FOLLOW-ON</v>
      </c>
      <c r="G224" s="19" t="str">
        <f>[2]Base!G224</f>
        <v>ICVM 400</v>
      </c>
      <c r="H224" s="20">
        <f>[2]Base!X224</f>
        <v>40645</v>
      </c>
      <c r="I224" s="187">
        <f>[2]Base!W224</f>
        <v>18.336658749391823</v>
      </c>
      <c r="J224" s="188">
        <f>[2]Base!J224</f>
        <v>40647</v>
      </c>
      <c r="K224" s="189">
        <f>'[1]SITE (Imprensa)_PT'!K224</f>
        <v>10579</v>
      </c>
      <c r="L224" s="189">
        <f>[2]Base!DZ224</f>
        <v>12141</v>
      </c>
      <c r="M224" s="190">
        <f>[2]Base!AO224</f>
        <v>3719719767.2919645</v>
      </c>
      <c r="N224" s="190">
        <f>[2]Base!AP224</f>
        <v>1265229453.7080357</v>
      </c>
      <c r="O224" s="190">
        <f>[2]Base!AQ224</f>
        <v>4984949221</v>
      </c>
      <c r="P224" s="190">
        <f>+[2]Base!ED224</f>
        <v>3146666595.7581115</v>
      </c>
      <c r="Q224" s="191">
        <f>'[1]SITE (Imprensa)_PT'!P224</f>
        <v>7.582816324036093E-2</v>
      </c>
      <c r="R224" s="157">
        <f>'[1]SITE (Imprensa)_PT'!Q224</f>
        <v>0.29844854643822538</v>
      </c>
      <c r="S224" s="157">
        <f>'[1]SITE (Imprensa)_PT'!R224</f>
        <v>0.39040359926734458</v>
      </c>
      <c r="T224" s="158">
        <f>'[1]SITE (Imprensa)_PT'!S224</f>
        <v>0.23531969105406925</v>
      </c>
      <c r="U224" s="6"/>
    </row>
    <row r="225" spans="2:21" ht="13.2" x14ac:dyDescent="0.25">
      <c r="B225" s="40" t="str">
        <f>[2]Base!A225</f>
        <v>MAGAZ LUIZA</v>
      </c>
      <c r="C225" s="41" t="str">
        <f>[2]Base!C225</f>
        <v>NM</v>
      </c>
      <c r="D225" s="19" t="s">
        <v>120</v>
      </c>
      <c r="E225" s="2" t="str">
        <f>[2]Base!M225</f>
        <v>Itaú BBA</v>
      </c>
      <c r="F225" s="165" t="str">
        <f>[2]Base!F225</f>
        <v>IPO</v>
      </c>
      <c r="G225" s="19" t="str">
        <f>[2]Base!G225</f>
        <v>ICVM 400</v>
      </c>
      <c r="H225" s="20">
        <f>[2]Base!X225</f>
        <v>40661</v>
      </c>
      <c r="I225" s="187">
        <f>[2]Base!W225</f>
        <v>16</v>
      </c>
      <c r="J225" s="188">
        <f>[2]Base!J225</f>
        <v>40665</v>
      </c>
      <c r="K225" s="189">
        <f>'[1]SITE (Imprensa)_PT'!K225</f>
        <v>34496</v>
      </c>
      <c r="L225" s="189">
        <f>[2]Base!DZ225</f>
        <v>36995</v>
      </c>
      <c r="M225" s="190">
        <f>[2]Base!AO225</f>
        <v>583911472</v>
      </c>
      <c r="N225" s="190">
        <f>[2]Base!AP225</f>
        <v>302469264</v>
      </c>
      <c r="O225" s="190">
        <f>[2]Base!AQ225</f>
        <v>886380736</v>
      </c>
      <c r="P225" s="190">
        <f>+[2]Base!ED225</f>
        <v>562888636.56569505</v>
      </c>
      <c r="Q225" s="191">
        <f>'[1]SITE (Imprensa)_PT'!P225</f>
        <v>0.20802924274677803</v>
      </c>
      <c r="R225" s="157">
        <f>'[1]SITE (Imprensa)_PT'!Q225</f>
        <v>0.30141201082666297</v>
      </c>
      <c r="S225" s="157">
        <f>'[1]SITE (Imprensa)_PT'!R225</f>
        <v>0.46802855213326644</v>
      </c>
      <c r="T225" s="158">
        <f>'[1]SITE (Imprensa)_PT'!S225</f>
        <v>2.2530194293292567E-2</v>
      </c>
      <c r="U225" s="6"/>
    </row>
    <row r="226" spans="2:21" ht="13.2" x14ac:dyDescent="0.25">
      <c r="B226" s="40" t="str">
        <f>[2]Base!A226</f>
        <v xml:space="preserve">BR MALLS PAR </v>
      </c>
      <c r="C226" s="41" t="str">
        <f>[2]Base!C226</f>
        <v>NM</v>
      </c>
      <c r="D226" s="19" t="s">
        <v>82</v>
      </c>
      <c r="E226" s="2" t="str">
        <f>[2]Base!M226</f>
        <v>Itaú BBA</v>
      </c>
      <c r="F226" s="174" t="str">
        <f>[2]Base!F226</f>
        <v>FOLLOW-ON</v>
      </c>
      <c r="G226" s="19" t="str">
        <f>[2]Base!G226</f>
        <v>ICVM 400</v>
      </c>
      <c r="H226" s="20">
        <f>[2]Base!X226</f>
        <v>40673</v>
      </c>
      <c r="I226" s="187">
        <f>[2]Base!W226</f>
        <v>17.2</v>
      </c>
      <c r="J226" s="188">
        <f>[2]Base!J226</f>
        <v>40675</v>
      </c>
      <c r="K226" s="189">
        <f>'[1]SITE (Imprensa)_PT'!K226</f>
        <v>950</v>
      </c>
      <c r="L226" s="189">
        <f>[2]Base!DZ226</f>
        <v>1486</v>
      </c>
      <c r="M226" s="190">
        <f>[2]Base!AO226</f>
        <v>731000000</v>
      </c>
      <c r="N226" s="190">
        <f>[2]Base!AP226</f>
        <v>0</v>
      </c>
      <c r="O226" s="190">
        <f>[2]Base!AQ226</f>
        <v>731000000</v>
      </c>
      <c r="P226" s="190">
        <f>+[2]Base!ED226</f>
        <v>451039674.21484542</v>
      </c>
      <c r="Q226" s="191">
        <f>'[1]SITE (Imprensa)_PT'!P226</f>
        <v>5.9335835294117636E-2</v>
      </c>
      <c r="R226" s="157">
        <f>'[1]SITE (Imprensa)_PT'!Q226</f>
        <v>0.22571101176470587</v>
      </c>
      <c r="S226" s="157">
        <f>'[1]SITE (Imprensa)_PT'!R226</f>
        <v>0.71218957647058823</v>
      </c>
      <c r="T226" s="158">
        <f>'[1]SITE (Imprensa)_PT'!S226</f>
        <v>2.7635764705882353E-3</v>
      </c>
      <c r="U226" s="6"/>
    </row>
    <row r="227" spans="2:21" ht="13.2" x14ac:dyDescent="0.25">
      <c r="B227" s="40" t="str">
        <f>[2]Base!A227</f>
        <v>BR PHARMA</v>
      </c>
      <c r="C227" s="41" t="str">
        <f>[2]Base!C227</f>
        <v>NM</v>
      </c>
      <c r="D227" s="19" t="s">
        <v>98</v>
      </c>
      <c r="E227" s="2" t="str">
        <f>[2]Base!M227</f>
        <v>BTG Pactual</v>
      </c>
      <c r="F227" s="170" t="str">
        <f>[2]Base!F227</f>
        <v>IPO</v>
      </c>
      <c r="G227" s="19" t="str">
        <f>[2]Base!G227</f>
        <v>ICVM 400</v>
      </c>
      <c r="H227" s="20">
        <f>[2]Base!X227</f>
        <v>40716</v>
      </c>
      <c r="I227" s="187">
        <f>[2]Base!W227</f>
        <v>17.25</v>
      </c>
      <c r="J227" s="188">
        <f>[2]Base!J227</f>
        <v>40721</v>
      </c>
      <c r="K227" s="189">
        <f>'[1]SITE (Imprensa)_PT'!K227</f>
        <v>141</v>
      </c>
      <c r="L227" s="189">
        <f>[2]Base!DZ227</f>
        <v>372</v>
      </c>
      <c r="M227" s="190">
        <f>[2]Base!AO227</f>
        <v>414000000</v>
      </c>
      <c r="N227" s="190">
        <f>[2]Base!AP227</f>
        <v>0</v>
      </c>
      <c r="O227" s="190">
        <f>[2]Base!AQ227</f>
        <v>414000000</v>
      </c>
      <c r="P227" s="190">
        <f>+[2]Base!ED227</f>
        <v>259252301.33383432</v>
      </c>
      <c r="Q227" s="191">
        <f>'[1]SITE (Imprensa)_PT'!P227</f>
        <v>0.10044444444444445</v>
      </c>
      <c r="R227" s="157">
        <f>'[1]SITE (Imprensa)_PT'!Q227</f>
        <v>0.33304866666666666</v>
      </c>
      <c r="S227" s="157">
        <f>'[1]SITE (Imprensa)_PT'!R227</f>
        <v>0.5639142962962963</v>
      </c>
      <c r="T227" s="158">
        <f>'[1]SITE (Imprensa)_PT'!S227</f>
        <v>2.5925925925925925E-3</v>
      </c>
      <c r="U227" s="6"/>
    </row>
    <row r="228" spans="2:21" ht="13.2" x14ac:dyDescent="0.25">
      <c r="B228" s="40" t="str">
        <f>[2]Base!A228</f>
        <v>QUALICORP</v>
      </c>
      <c r="C228" s="41" t="str">
        <f>[2]Base!C228</f>
        <v>NM</v>
      </c>
      <c r="D228" s="19" t="s">
        <v>63</v>
      </c>
      <c r="E228" s="2" t="str">
        <f>[2]Base!M228</f>
        <v>BofA Merrill Lynch</v>
      </c>
      <c r="F228" s="170" t="str">
        <f>[2]Base!F228</f>
        <v>IPO</v>
      </c>
      <c r="G228" s="19" t="str">
        <f>[2]Base!G228</f>
        <v>ICVM 400</v>
      </c>
      <c r="H228" s="20">
        <f>[2]Base!X228</f>
        <v>40721</v>
      </c>
      <c r="I228" s="187">
        <f>[2]Base!W228</f>
        <v>13</v>
      </c>
      <c r="J228" s="188">
        <f>[2]Base!J228</f>
        <v>40723</v>
      </c>
      <c r="K228" s="189">
        <f>'[1]SITE (Imprensa)_PT'!K228</f>
        <v>807</v>
      </c>
      <c r="L228" s="189">
        <f>[2]Base!DZ228</f>
        <v>997</v>
      </c>
      <c r="M228" s="190">
        <f>[2]Base!AO228</f>
        <v>353852577</v>
      </c>
      <c r="N228" s="190">
        <f>[2]Base!AP228</f>
        <v>731295305</v>
      </c>
      <c r="O228" s="190">
        <f>[2]Base!AQ228</f>
        <v>1085147882</v>
      </c>
      <c r="P228" s="190">
        <f>+[2]Base!ED228</f>
        <v>689858793.38842976</v>
      </c>
      <c r="Q228" s="191">
        <f>'[1]SITE (Imprensa)_PT'!P228</f>
        <v>1.9884629881257051E-2</v>
      </c>
      <c r="R228" s="157">
        <f>'[1]SITE (Imprensa)_PT'!Q228</f>
        <v>8.3228770472778754E-2</v>
      </c>
      <c r="S228" s="157">
        <f>'[1]SITE (Imprensa)_PT'!R228</f>
        <v>0.89637163020330168</v>
      </c>
      <c r="T228" s="158">
        <f>'[1]SITE (Imprensa)_PT'!S228</f>
        <v>5.1496944266256242E-4</v>
      </c>
      <c r="U228" s="6"/>
    </row>
    <row r="229" spans="2:21" ht="13.2" x14ac:dyDescent="0.25">
      <c r="B229" s="40" t="str">
        <f>[2]Base!A229</f>
        <v xml:space="preserve">BR PROPERT </v>
      </c>
      <c r="C229" s="41" t="str">
        <f>[2]Base!C229</f>
        <v>NM</v>
      </c>
      <c r="D229" s="19" t="s">
        <v>82</v>
      </c>
      <c r="E229" s="2" t="str">
        <f>[2]Base!M229</f>
        <v>Itaú BBA</v>
      </c>
      <c r="F229" s="170" t="str">
        <f>[2]Base!F229</f>
        <v>FOLLOW-ON</v>
      </c>
      <c r="G229" s="19" t="str">
        <f>[2]Base!G229</f>
        <v>ICVM 400</v>
      </c>
      <c r="H229" s="20">
        <f>[2]Base!X229</f>
        <v>40722</v>
      </c>
      <c r="I229" s="187">
        <f>[2]Base!W229</f>
        <v>17.149999999999999</v>
      </c>
      <c r="J229" s="188">
        <f>[2]Base!J229</f>
        <v>40724</v>
      </c>
      <c r="K229" s="189">
        <f>'[1]SITE (Imprensa)_PT'!K229</f>
        <v>607</v>
      </c>
      <c r="L229" s="189">
        <f>[2]Base!DZ229</f>
        <v>951</v>
      </c>
      <c r="M229" s="190">
        <f>[2]Base!AO229</f>
        <v>690287500</v>
      </c>
      <c r="N229" s="190">
        <f>[2]Base!AP229</f>
        <v>0</v>
      </c>
      <c r="O229" s="190">
        <f>[2]Base!AQ229</f>
        <v>690287500</v>
      </c>
      <c r="P229" s="190">
        <f>+[2]Base!ED229</f>
        <v>442180193.45333421</v>
      </c>
      <c r="Q229" s="191">
        <f>'[1]SITE (Imprensa)_PT'!P229</f>
        <v>5.7693639751552783E-2</v>
      </c>
      <c r="R229" s="157">
        <f>'[1]SITE (Imprensa)_PT'!Q229</f>
        <v>0.24812397515527951</v>
      </c>
      <c r="S229" s="157">
        <f>'[1]SITE (Imprensa)_PT'!R229</f>
        <v>0.68790832298136639</v>
      </c>
      <c r="T229" s="158">
        <f>'[1]SITE (Imprensa)_PT'!S229</f>
        <v>6.2740621118012414E-3</v>
      </c>
      <c r="U229" s="6"/>
    </row>
    <row r="230" spans="2:21" ht="13.2" x14ac:dyDescent="0.25">
      <c r="B230" s="40" t="str">
        <f>[2]Base!A230</f>
        <v>TECHNOS</v>
      </c>
      <c r="C230" s="41" t="str">
        <f>[2]Base!C230</f>
        <v>NM</v>
      </c>
      <c r="D230" s="19" t="s">
        <v>121</v>
      </c>
      <c r="E230" s="2" t="str">
        <f>[2]Base!M230</f>
        <v>Itaú BBA</v>
      </c>
      <c r="F230" s="170" t="str">
        <f>[2]Base!F230</f>
        <v>IPO</v>
      </c>
      <c r="G230" s="19" t="str">
        <f>[2]Base!G230</f>
        <v>ICVM 400</v>
      </c>
      <c r="H230" s="20">
        <f>[2]Base!X230</f>
        <v>40722</v>
      </c>
      <c r="I230" s="187">
        <f>[2]Base!W230</f>
        <v>16.5</v>
      </c>
      <c r="J230" s="188">
        <f>[2]Base!J230</f>
        <v>40725</v>
      </c>
      <c r="K230" s="189">
        <f>'[1]SITE (Imprensa)_PT'!K230</f>
        <v>586</v>
      </c>
      <c r="L230" s="189">
        <f>[2]Base!DZ230</f>
        <v>739</v>
      </c>
      <c r="M230" s="190">
        <f>[2]Base!AO230</f>
        <v>180608109</v>
      </c>
      <c r="N230" s="190">
        <f>[2]Base!AP230</f>
        <v>280945945.5</v>
      </c>
      <c r="O230" s="190">
        <f>[2]Base!AQ230</f>
        <v>461554054.5</v>
      </c>
      <c r="P230" s="190">
        <f>+[2]Base!ED230</f>
        <v>295886950.76607472</v>
      </c>
      <c r="Q230" s="191">
        <f>'[1]SITE (Imprensa)_PT'!P230</f>
        <v>5.7827210572147625E-2</v>
      </c>
      <c r="R230" s="157">
        <f>'[1]SITE (Imprensa)_PT'!Q230</f>
        <v>0.3897494199132856</v>
      </c>
      <c r="S230" s="157">
        <f>'[1]SITE (Imprensa)_PT'!R230</f>
        <v>0.55167496854910636</v>
      </c>
      <c r="T230" s="158">
        <f>'[1]SITE (Imprensa)_PT'!S230</f>
        <v>7.5161835676172141E-4</v>
      </c>
      <c r="U230" s="6"/>
    </row>
    <row r="231" spans="2:21" ht="13.2" x14ac:dyDescent="0.25">
      <c r="B231" s="40" t="str">
        <f>[2]Base!A231</f>
        <v>KROTON</v>
      </c>
      <c r="C231" s="41" t="str">
        <f>[2]Base!C231</f>
        <v>N2</v>
      </c>
      <c r="D231" s="19" t="s">
        <v>93</v>
      </c>
      <c r="E231" s="2" t="str">
        <f>[2]Base!M231</f>
        <v>Itaú BBA</v>
      </c>
      <c r="F231" s="170" t="str">
        <f>[2]Base!F231</f>
        <v>FOLLOW-ON</v>
      </c>
      <c r="G231" s="19" t="str">
        <f>[2]Base!G231</f>
        <v>ICVM 400</v>
      </c>
      <c r="H231" s="20">
        <f>[2]Base!X231</f>
        <v>40723</v>
      </c>
      <c r="I231" s="187">
        <f>[2]Base!W231</f>
        <v>19.25</v>
      </c>
      <c r="J231" s="188">
        <f>[2]Base!J231</f>
        <v>40725</v>
      </c>
      <c r="K231" s="189">
        <f>'[1]SITE (Imprensa)_PT'!K231</f>
        <v>413</v>
      </c>
      <c r="L231" s="189">
        <f>[2]Base!DZ231</f>
        <v>587</v>
      </c>
      <c r="M231" s="190">
        <f>[2]Base!AO231</f>
        <v>380229850</v>
      </c>
      <c r="N231" s="190">
        <f>[2]Base!AP231</f>
        <v>15400000</v>
      </c>
      <c r="O231" s="190">
        <f>[2]Base!AQ231</f>
        <v>395629850</v>
      </c>
      <c r="P231" s="190">
        <f>+[2]Base!ED231</f>
        <v>253625136.22668117</v>
      </c>
      <c r="Q231" s="191">
        <f>'[1]SITE (Imprensa)_PT'!P231</f>
        <v>8.3583963759909397E-2</v>
      </c>
      <c r="R231" s="157">
        <f>'[1]SITE (Imprensa)_PT'!Q231</f>
        <v>0.19731646659116647</v>
      </c>
      <c r="S231" s="157">
        <f>'[1]SITE (Imprensa)_PT'!R231</f>
        <v>0.71769019252548127</v>
      </c>
      <c r="T231" s="158">
        <f>'[1]SITE (Imprensa)_PT'!S231</f>
        <v>1.4093771234428086E-3</v>
      </c>
      <c r="U231" s="6"/>
    </row>
    <row r="232" spans="2:21" ht="13.2" x14ac:dyDescent="0.25">
      <c r="B232" s="40" t="str">
        <f>[2]Base!A232</f>
        <v>METAL LEVE</v>
      </c>
      <c r="C232" s="41" t="str">
        <f>[2]Base!C232</f>
        <v>NM</v>
      </c>
      <c r="D232" s="19" t="s">
        <v>115</v>
      </c>
      <c r="E232" s="2" t="str">
        <f>[2]Base!M232</f>
        <v>Itaú BBA</v>
      </c>
      <c r="F232" s="170" t="str">
        <f>[2]Base!F232</f>
        <v>FOLLOW-ON</v>
      </c>
      <c r="G232" s="19" t="str">
        <f>[2]Base!G232</f>
        <v>ICVM 400</v>
      </c>
      <c r="H232" s="20">
        <f>[2]Base!X232</f>
        <v>40724</v>
      </c>
      <c r="I232" s="187">
        <f>[2]Base!W232</f>
        <v>41</v>
      </c>
      <c r="J232" s="188">
        <f>[2]Base!J232</f>
        <v>40729</v>
      </c>
      <c r="K232" s="189">
        <f>'[1]SITE (Imprensa)_PT'!K232</f>
        <v>377</v>
      </c>
      <c r="L232" s="189">
        <f>[2]Base!DZ232</f>
        <v>619</v>
      </c>
      <c r="M232" s="190">
        <f>[2]Base!AO232</f>
        <v>0</v>
      </c>
      <c r="N232" s="190">
        <f>[2]Base!AP232</f>
        <v>305766315</v>
      </c>
      <c r="O232" s="190">
        <f>[2]Base!AQ232</f>
        <v>305766315</v>
      </c>
      <c r="P232" s="190">
        <f>+[2]Base!ED232</f>
        <v>195540266.67519343</v>
      </c>
      <c r="Q232" s="191">
        <f>'[1]SITE (Imprensa)_PT'!P232</f>
        <v>8.9420187357390601E-2</v>
      </c>
      <c r="R232" s="157">
        <f>'[1]SITE (Imprensa)_PT'!Q232</f>
        <v>0.41020168490750974</v>
      </c>
      <c r="S232" s="157">
        <f>'[1]SITE (Imprensa)_PT'!R232</f>
        <v>0.37887378880545819</v>
      </c>
      <c r="T232" s="158">
        <f>'[1]SITE (Imprensa)_PT'!S232</f>
        <v>0.12150433892964148</v>
      </c>
      <c r="U232" s="6"/>
    </row>
    <row r="233" spans="2:21" ht="13.2" x14ac:dyDescent="0.25">
      <c r="B233" s="40" t="str">
        <f>[2]Base!A233</f>
        <v>ENERGIAS BR</v>
      </c>
      <c r="C233" s="41" t="str">
        <f>[2]Base!C233</f>
        <v>NM</v>
      </c>
      <c r="D233" s="19" t="s">
        <v>60</v>
      </c>
      <c r="E233" s="2" t="str">
        <f>[2]Base!M233</f>
        <v>Santander</v>
      </c>
      <c r="F233" s="170" t="str">
        <f>[2]Base!F233</f>
        <v>FOLLOW-ON</v>
      </c>
      <c r="G233" s="19" t="str">
        <f>[2]Base!G233</f>
        <v>ICVM 400</v>
      </c>
      <c r="H233" s="53">
        <f>[2]Base!X233</f>
        <v>40731</v>
      </c>
      <c r="I233" s="198">
        <f>[2]Base!W233</f>
        <v>37</v>
      </c>
      <c r="J233" s="188">
        <f>[2]Base!J233</f>
        <v>40735</v>
      </c>
      <c r="K233" s="189">
        <f>'[1]SITE (Imprensa)_PT'!K233</f>
        <v>1278</v>
      </c>
      <c r="L233" s="189">
        <f>[2]Base!DZ233</f>
        <v>1816</v>
      </c>
      <c r="M233" s="190">
        <f>[2]Base!AO233</f>
        <v>0</v>
      </c>
      <c r="N233" s="190">
        <f>[2]Base!AP233</f>
        <v>810724020</v>
      </c>
      <c r="O233" s="190">
        <f>[2]Base!AQ233</f>
        <v>810724020</v>
      </c>
      <c r="P233" s="190">
        <f>+[2]Base!ED233</f>
        <v>513246404.15295017</v>
      </c>
      <c r="Q233" s="191">
        <f>'[1]SITE (Imprensa)_PT'!P233</f>
        <v>0.10626512336466853</v>
      </c>
      <c r="R233" s="157">
        <f>'[1]SITE (Imprensa)_PT'!Q233</f>
        <v>0.29300804236687106</v>
      </c>
      <c r="S233" s="157">
        <f>'[1]SITE (Imprensa)_PT'!R233</f>
        <v>0.59803344916313195</v>
      </c>
      <c r="T233" s="158">
        <f>'[1]SITE (Imprensa)_PT'!S233</f>
        <v>2.6933851053284447E-3</v>
      </c>
      <c r="U233" s="6"/>
    </row>
    <row r="234" spans="2:21" ht="13.2" x14ac:dyDescent="0.25">
      <c r="B234" s="40" t="str">
        <f>[2]Base!A234</f>
        <v>ABRIL EDUCA</v>
      </c>
      <c r="C234" s="41" t="str">
        <f>[2]Base!C234</f>
        <v>N2</v>
      </c>
      <c r="D234" s="19" t="s">
        <v>122</v>
      </c>
      <c r="E234" s="2" t="str">
        <f>[2]Base!M234</f>
        <v>Credit Suisse</v>
      </c>
      <c r="F234" s="170" t="str">
        <f>[2]Base!F234</f>
        <v>IPO</v>
      </c>
      <c r="G234" s="19" t="str">
        <f>[2]Base!G234</f>
        <v>ICVM 400</v>
      </c>
      <c r="H234" s="20">
        <f>[2]Base!X234</f>
        <v>40745</v>
      </c>
      <c r="I234" s="187">
        <f>[2]Base!W234</f>
        <v>20</v>
      </c>
      <c r="J234" s="188">
        <f>[2]Base!J234</f>
        <v>40750</v>
      </c>
      <c r="K234" s="189">
        <f>'[1]SITE (Imprensa)_PT'!K234</f>
        <v>1394</v>
      </c>
      <c r="L234" s="189">
        <f>[2]Base!DZ234</f>
        <v>1604</v>
      </c>
      <c r="M234" s="190">
        <f>[2]Base!AO234</f>
        <v>371134040</v>
      </c>
      <c r="N234" s="190">
        <f>[2]Base!AP234</f>
        <v>0</v>
      </c>
      <c r="O234" s="190">
        <f>[2]Base!AQ234</f>
        <v>371134040</v>
      </c>
      <c r="P234" s="190">
        <f>+[2]Base!ED234</f>
        <v>241859915.28185076</v>
      </c>
      <c r="Q234" s="191">
        <f>'[1]SITE (Imprensa)_PT'!P234</f>
        <v>0.11937944182078458</v>
      </c>
      <c r="R234" s="157">
        <f>'[1]SITE (Imprensa)_PT'!Q234</f>
        <v>0.35915771576161376</v>
      </c>
      <c r="S234" s="157">
        <f>'[1]SITE (Imprensa)_PT'!R234</f>
        <v>0.42445698863183473</v>
      </c>
      <c r="T234" s="158">
        <f>'[1]SITE (Imprensa)_PT'!S234</f>
        <v>9.7005853785766927E-2</v>
      </c>
      <c r="U234" s="6"/>
    </row>
    <row r="235" spans="2:21" ht="13.8" thickBot="1" x14ac:dyDescent="0.3">
      <c r="B235" s="61" t="str">
        <f>[2]Base!A235</f>
        <v>TIM PART S/A</v>
      </c>
      <c r="C235" s="62" t="str">
        <f>[2]Base!C235</f>
        <v>NM</v>
      </c>
      <c r="D235" s="31" t="s">
        <v>123</v>
      </c>
      <c r="E235" s="31" t="str">
        <f>[2]Base!M235</f>
        <v>Itaú BBA</v>
      </c>
      <c r="F235" s="31" t="str">
        <f>[2]Base!F235</f>
        <v>FOLLOW-ON</v>
      </c>
      <c r="G235" s="62" t="str">
        <f>[2]Base!G235</f>
        <v>ICVM 400</v>
      </c>
      <c r="H235" s="63">
        <f>[2]Base!X235</f>
        <v>40820</v>
      </c>
      <c r="I235" s="64">
        <f>[2]Base!W235</f>
        <v>8.6</v>
      </c>
      <c r="J235" s="192">
        <f>[2]Base!J235</f>
        <v>40822</v>
      </c>
      <c r="K235" s="193">
        <f>'[1]SITE (Imprensa)_PT'!K235</f>
        <v>650</v>
      </c>
      <c r="L235" s="193">
        <f>[2]Base!DZ235</f>
        <v>988</v>
      </c>
      <c r="M235" s="194">
        <f>[2]Base!AO235</f>
        <v>1722221964.8</v>
      </c>
      <c r="N235" s="194">
        <f>[2]Base!AP235</f>
        <v>0</v>
      </c>
      <c r="O235" s="194">
        <f>[2]Base!AQ235</f>
        <v>1722221964.8</v>
      </c>
      <c r="P235" s="194">
        <f>+[2]Base!ED235</f>
        <v>950663482.44645607</v>
      </c>
      <c r="Q235" s="159">
        <f>'[1]SITE (Imprensa)_PT'!P235</f>
        <v>2.4841318990475345E-2</v>
      </c>
      <c r="R235" s="159">
        <f>'[1]SITE (Imprensa)_PT'!Q235</f>
        <v>7.5799673949205462E-2</v>
      </c>
      <c r="S235" s="159">
        <f>'[1]SITE (Imprensa)_PT'!R235</f>
        <v>0.21454081759020427</v>
      </c>
      <c r="T235" s="160">
        <f>'[1]SITE (Imprensa)_PT'!S235</f>
        <v>0.68481818947011508</v>
      </c>
      <c r="U235" s="6"/>
    </row>
    <row r="236" spans="2:21" ht="13.8" thickTop="1" x14ac:dyDescent="0.25">
      <c r="B236" s="40" t="str">
        <f>[2]Base!A236</f>
        <v>QUALICORP</v>
      </c>
      <c r="C236" s="41" t="str">
        <f>[2]Base!C236</f>
        <v>NM</v>
      </c>
      <c r="D236" s="195" t="s">
        <v>63</v>
      </c>
      <c r="E236" s="2" t="str">
        <f>[2]Base!M236</f>
        <v>Credit Suisse</v>
      </c>
      <c r="F236" s="41" t="str">
        <f>[2]Base!F236</f>
        <v>FOLLOW-ON</v>
      </c>
      <c r="G236" s="41" t="str">
        <f>[2]Base!G236</f>
        <v>ICVM 400</v>
      </c>
      <c r="H236" s="42">
        <f>[2]Base!X236</f>
        <v>41016</v>
      </c>
      <c r="I236" s="43">
        <f>[2]Base!W236</f>
        <v>16.5</v>
      </c>
      <c r="J236" s="199">
        <f>[2]Base!J236</f>
        <v>41017</v>
      </c>
      <c r="K236" s="200">
        <f>'[1]SITE (Imprensa)_PT'!K236</f>
        <v>731</v>
      </c>
      <c r="L236" s="200">
        <f>[2]Base!DZ236</f>
        <v>1077</v>
      </c>
      <c r="M236" s="200" t="str">
        <f>[2]Base!AO236</f>
        <v>-</v>
      </c>
      <c r="N236" s="201">
        <f>[2]Base!AP236</f>
        <v>758544451.5</v>
      </c>
      <c r="O236" s="201">
        <f>[2]Base!AQ236</f>
        <v>758544451.5</v>
      </c>
      <c r="P236" s="201">
        <f>+[2]Base!ED236</f>
        <v>405768937.35958064</v>
      </c>
      <c r="Q236" s="161">
        <f>'[1]SITE (Imprensa)_PT'!P236</f>
        <v>6.4739987093557952E-2</v>
      </c>
      <c r="R236" s="161">
        <f>'[1]SITE (Imprensa)_PT'!Q236</f>
        <v>0.27328648187996141</v>
      </c>
      <c r="S236" s="161">
        <f>'[1]SITE (Imprensa)_PT'!R236</f>
        <v>0.66053660337135822</v>
      </c>
      <c r="T236" s="162">
        <f>'[1]SITE (Imprensa)_PT'!S236</f>
        <v>1.4369276551223973E-3</v>
      </c>
      <c r="U236" s="6"/>
    </row>
    <row r="237" spans="2:21" ht="13.2" x14ac:dyDescent="0.25">
      <c r="B237" s="40" t="str">
        <f>[2]Base!A237</f>
        <v>LOCAMERICA</v>
      </c>
      <c r="C237" s="41" t="str">
        <f>[2]Base!C237</f>
        <v>NM</v>
      </c>
      <c r="D237" s="19" t="s">
        <v>71</v>
      </c>
      <c r="E237" s="2" t="str">
        <f>[2]Base!M237</f>
        <v>Itaú BBA</v>
      </c>
      <c r="F237" s="174" t="str">
        <f>[2]Base!F237</f>
        <v>IPO</v>
      </c>
      <c r="G237" s="2" t="str">
        <f>[2]Base!G237</f>
        <v>ICVM 400</v>
      </c>
      <c r="H237" s="20">
        <f>[2]Base!X237</f>
        <v>41018</v>
      </c>
      <c r="I237" s="187">
        <f>[2]Base!W237</f>
        <v>9</v>
      </c>
      <c r="J237" s="188">
        <f>[2]Base!J237</f>
        <v>41022</v>
      </c>
      <c r="K237" s="189">
        <f>'[1]SITE (Imprensa)_PT'!K237</f>
        <v>239</v>
      </c>
      <c r="L237" s="189">
        <f>[2]Base!DZ237</f>
        <v>391</v>
      </c>
      <c r="M237" s="190">
        <f>[2]Base!AO237</f>
        <v>163636362</v>
      </c>
      <c r="N237" s="190">
        <f>[2]Base!AP237</f>
        <v>109343196</v>
      </c>
      <c r="O237" s="190">
        <f>[2]Base!AQ237</f>
        <v>272979558</v>
      </c>
      <c r="P237" s="190">
        <f>+[2]Base!ED237</f>
        <v>144709265.26717556</v>
      </c>
      <c r="Q237" s="191">
        <f>'[1]SITE (Imprensa)_PT'!P237</f>
        <v>4.8338496074748306E-2</v>
      </c>
      <c r="R237" s="157">
        <f>'[1]SITE (Imprensa)_PT'!Q237</f>
        <v>0.48627252196232712</v>
      </c>
      <c r="S237" s="157">
        <f>'[1]SITE (Imprensa)_PT'!R237</f>
        <v>0.4629975861543783</v>
      </c>
      <c r="T237" s="158">
        <f>'[1]SITE (Imprensa)_PT'!S237</f>
        <v>2.3913958085462757E-3</v>
      </c>
      <c r="U237" s="6"/>
    </row>
    <row r="238" spans="2:21" ht="13.2" x14ac:dyDescent="0.25">
      <c r="B238" s="40" t="str">
        <f>[2]Base!A238</f>
        <v>FIBRIA</v>
      </c>
      <c r="C238" s="41" t="str">
        <f>[2]Base!C238</f>
        <v>NM</v>
      </c>
      <c r="D238" s="19" t="s">
        <v>90</v>
      </c>
      <c r="E238" s="2" t="str">
        <f>[2]Base!M238</f>
        <v>Itaú BBA</v>
      </c>
      <c r="F238" s="174" t="str">
        <f>[2]Base!F238</f>
        <v>FOLLOW-ON</v>
      </c>
      <c r="G238" s="19" t="str">
        <f>[2]Base!G238</f>
        <v>ICVM 400</v>
      </c>
      <c r="H238" s="20">
        <f>[2]Base!X238</f>
        <v>41023</v>
      </c>
      <c r="I238" s="187">
        <f>[2]Base!W238</f>
        <v>15.83</v>
      </c>
      <c r="J238" s="188">
        <f>[2]Base!J238</f>
        <v>41024</v>
      </c>
      <c r="K238" s="189">
        <f>'[1]SITE (Imprensa)_PT'!K238</f>
        <v>847</v>
      </c>
      <c r="L238" s="189">
        <f>[2]Base!DZ238</f>
        <v>949</v>
      </c>
      <c r="M238" s="190">
        <f>[2]Base!AO238</f>
        <v>1361380000</v>
      </c>
      <c r="N238" s="190">
        <f>[2]Base!AP238</f>
        <v>0</v>
      </c>
      <c r="O238" s="190">
        <f>[2]Base!AQ238</f>
        <v>1361380000</v>
      </c>
      <c r="P238" s="190">
        <f>+[2]Base!ED238</f>
        <v>723868772.26564574</v>
      </c>
      <c r="Q238" s="191">
        <f>'[1]SITE (Imprensa)_PT'!P238</f>
        <v>3.4337870507847944E-2</v>
      </c>
      <c r="R238" s="157">
        <f>'[1]SITE (Imprensa)_PT'!Q238</f>
        <v>5.6549866989433657E-2</v>
      </c>
      <c r="S238" s="157">
        <f>'[1]SITE (Imprensa)_PT'!R238</f>
        <v>0.32254015163034122</v>
      </c>
      <c r="T238" s="158">
        <f>'[1]SITE (Imprensa)_PT'!S238</f>
        <v>0.58657211087237715</v>
      </c>
      <c r="U238" s="6"/>
    </row>
    <row r="239" spans="2:21" ht="13.2" x14ac:dyDescent="0.25">
      <c r="B239" s="40" t="str">
        <f>[2]Base!A239</f>
        <v>BTG PACTUAL</v>
      </c>
      <c r="C239" s="41" t="str">
        <f>[2]Base!C239</f>
        <v>BÁSICO</v>
      </c>
      <c r="D239" s="19" t="s">
        <v>67</v>
      </c>
      <c r="E239" s="2" t="str">
        <f>[2]Base!M239</f>
        <v>BTG Pactual</v>
      </c>
      <c r="F239" s="170" t="str">
        <f>[2]Base!F239</f>
        <v>IPO</v>
      </c>
      <c r="G239" s="19" t="str">
        <f>[2]Base!G239</f>
        <v>ICVM 400</v>
      </c>
      <c r="H239" s="20">
        <f>[2]Base!X239</f>
        <v>41023</v>
      </c>
      <c r="I239" s="187">
        <f>[2]Base!W239</f>
        <v>31.25</v>
      </c>
      <c r="J239" s="188">
        <f>[2]Base!J239</f>
        <v>41025</v>
      </c>
      <c r="K239" s="189">
        <f>'[1]SITE (Imprensa)_PT'!K239</f>
        <v>6122</v>
      </c>
      <c r="L239" s="189">
        <f>[2]Base!DZ239</f>
        <v>7221</v>
      </c>
      <c r="M239" s="190">
        <f>[2]Base!AO239</f>
        <v>2587500000</v>
      </c>
      <c r="N239" s="190">
        <f>[2]Base!AP239</f>
        <v>646875000</v>
      </c>
      <c r="O239" s="190">
        <f>[2]Base!AQ239</f>
        <v>3234375000</v>
      </c>
      <c r="P239" s="190">
        <f>+[2]Base!ED239</f>
        <v>1713939377.8814054</v>
      </c>
      <c r="Q239" s="191">
        <f>'[1]SITE (Imprensa)_PT'!P239</f>
        <v>9.7693487179487185E-2</v>
      </c>
      <c r="R239" s="157">
        <f>'[1]SITE (Imprensa)_PT'!Q239</f>
        <v>0.14050422222222222</v>
      </c>
      <c r="S239" s="157">
        <f>'[1]SITE (Imprensa)_PT'!R239</f>
        <v>0.67565964957264957</v>
      </c>
      <c r="T239" s="158">
        <f>'[1]SITE (Imprensa)_PT'!S239</f>
        <v>8.6142641025641023E-2</v>
      </c>
      <c r="U239" s="6"/>
    </row>
    <row r="240" spans="2:21" ht="13.2" x14ac:dyDescent="0.25">
      <c r="B240" s="40" t="str">
        <f>[2]Base!A240</f>
        <v>UNICASA</v>
      </c>
      <c r="C240" s="41" t="str">
        <f>[2]Base!C240</f>
        <v>NM</v>
      </c>
      <c r="D240" s="19" t="s">
        <v>124</v>
      </c>
      <c r="E240" s="2" t="str">
        <f>[2]Base!M240</f>
        <v>BTG Pactual</v>
      </c>
      <c r="F240" s="170" t="str">
        <f>[2]Base!F240</f>
        <v>IPO</v>
      </c>
      <c r="G240" s="19" t="str">
        <f>[2]Base!G240</f>
        <v>ICVM 400</v>
      </c>
      <c r="H240" s="20">
        <f>[2]Base!X240</f>
        <v>41024</v>
      </c>
      <c r="I240" s="187">
        <f>[2]Base!W240</f>
        <v>14</v>
      </c>
      <c r="J240" s="188">
        <f>[2]Base!J240</f>
        <v>41026</v>
      </c>
      <c r="K240" s="189">
        <f>'[1]SITE (Imprensa)_PT'!K240</f>
        <v>774</v>
      </c>
      <c r="L240" s="189">
        <f>[2]Base!DZ240</f>
        <v>1040</v>
      </c>
      <c r="M240" s="190">
        <f>[2]Base!AO240</f>
        <v>127909096</v>
      </c>
      <c r="N240" s="190">
        <f>[2]Base!AP240</f>
        <v>297687082</v>
      </c>
      <c r="O240" s="190">
        <f>[2]Base!AQ240</f>
        <v>425596178</v>
      </c>
      <c r="P240" s="190">
        <f>+[2]Base!ED240</f>
        <v>225756512.83683428</v>
      </c>
      <c r="Q240" s="191">
        <f>'[1]SITE (Imprensa)_PT'!P240</f>
        <v>3.8061361537884864E-2</v>
      </c>
      <c r="R240" s="157">
        <f>'[1]SITE (Imprensa)_PT'!Q240</f>
        <v>0.50769130262255313</v>
      </c>
      <c r="S240" s="157">
        <f>'[1]SITE (Imprensa)_PT'!R240</f>
        <v>0.45133494126443963</v>
      </c>
      <c r="T240" s="158">
        <f>'[1]SITE (Imprensa)_PT'!S240</f>
        <v>2.9123945751223356E-3</v>
      </c>
      <c r="U240" s="6"/>
    </row>
    <row r="241" spans="2:21" ht="13.2" x14ac:dyDescent="0.25">
      <c r="B241" s="40" t="str">
        <f>[2]Base!A241</f>
        <v>BR PHARMA</v>
      </c>
      <c r="C241" s="41" t="str">
        <f>[2]Base!C241</f>
        <v>NM</v>
      </c>
      <c r="D241" s="19" t="s">
        <v>98</v>
      </c>
      <c r="E241" s="2" t="str">
        <f>[2]Base!M241</f>
        <v>BTG Pactual</v>
      </c>
      <c r="F241" s="170" t="str">
        <f>[2]Base!F241</f>
        <v>FOLLOW-ON</v>
      </c>
      <c r="G241" s="19" t="str">
        <f>[2]Base!G241</f>
        <v>ICVM 400</v>
      </c>
      <c r="H241" s="20">
        <f>[2]Base!X241</f>
        <v>41081</v>
      </c>
      <c r="I241" s="187">
        <f>[2]Base!W241</f>
        <v>9.25</v>
      </c>
      <c r="J241" s="188">
        <f>[2]Base!J241</f>
        <v>41085</v>
      </c>
      <c r="K241" s="189">
        <f>'[1]SITE (Imprensa)_PT'!K241</f>
        <v>18</v>
      </c>
      <c r="L241" s="189">
        <f>[2]Base!DZ241</f>
        <v>384</v>
      </c>
      <c r="M241" s="190">
        <f>[2]Base!AO241</f>
        <v>488400000</v>
      </c>
      <c r="N241" s="190">
        <f>[2]Base!AP241</f>
        <v>64750000</v>
      </c>
      <c r="O241" s="190">
        <f>[2]Base!AQ241</f>
        <v>553150000</v>
      </c>
      <c r="P241" s="190">
        <f>+[2]Base!ED241</f>
        <v>266990056.95530456</v>
      </c>
      <c r="Q241" s="191">
        <f>'[1]SITE (Imprensa)_PT'!P241</f>
        <v>3.278344481605351E-3</v>
      </c>
      <c r="R241" s="157">
        <f>'[1]SITE (Imprensa)_PT'!Q241</f>
        <v>0.32102429765886287</v>
      </c>
      <c r="S241" s="157">
        <f>'[1]SITE (Imprensa)_PT'!R241</f>
        <v>0.44901657190635452</v>
      </c>
      <c r="T241" s="158">
        <f>'[1]SITE (Imprensa)_PT'!S241</f>
        <v>0.22668078595317726</v>
      </c>
      <c r="U241" s="6"/>
    </row>
    <row r="242" spans="2:21" ht="13.2" x14ac:dyDescent="0.25">
      <c r="B242" s="40" t="str">
        <f>[2]Base!A242</f>
        <v>SUZANO PAPEL</v>
      </c>
      <c r="C242" s="41" t="str">
        <f>[2]Base!C242</f>
        <v>N1</v>
      </c>
      <c r="D242" s="19" t="s">
        <v>90</v>
      </c>
      <c r="E242" s="2" t="str">
        <f>[2]Base!M242</f>
        <v>BTG Pactual</v>
      </c>
      <c r="F242" s="170" t="str">
        <f>[2]Base!F242</f>
        <v>FOLLOW-ON</v>
      </c>
      <c r="G242" s="19" t="str">
        <f>[2]Base!G242</f>
        <v>ICVM 400</v>
      </c>
      <c r="H242" s="20">
        <f>[2]Base!X242</f>
        <v>41087</v>
      </c>
      <c r="I242" s="187">
        <f>[2]Base!W242</f>
        <v>4</v>
      </c>
      <c r="J242" s="188">
        <f>[2]Base!J242</f>
        <v>41089</v>
      </c>
      <c r="K242" s="189">
        <f>'[1]SITE (Imprensa)_PT'!K242</f>
        <v>281</v>
      </c>
      <c r="L242" s="189">
        <f>[2]Base!DZ242</f>
        <v>484</v>
      </c>
      <c r="M242" s="190">
        <f>[2]Base!AO242</f>
        <v>1463368856</v>
      </c>
      <c r="N242" s="190">
        <f>[2]Base!AP242</f>
        <v>0</v>
      </c>
      <c r="O242" s="190">
        <f>[2]Base!AQ242</f>
        <v>1463368856</v>
      </c>
      <c r="P242" s="190">
        <f>+[2]Base!ED242</f>
        <v>723974103.79458761</v>
      </c>
      <c r="Q242" s="191">
        <f>'[1]SITE (Imprensa)_PT'!P242</f>
        <v>0.12004917147788391</v>
      </c>
      <c r="R242" s="157">
        <f>'[1]SITE (Imprensa)_PT'!Q242</f>
        <v>0.15703294961631589</v>
      </c>
      <c r="S242" s="157">
        <f>'[1]SITE (Imprensa)_PT'!R242</f>
        <v>9.8991528099804299E-2</v>
      </c>
      <c r="T242" s="158">
        <f>'[1]SITE (Imprensa)_PT'!S242</f>
        <v>0.6239263508059959</v>
      </c>
      <c r="U242" s="6"/>
    </row>
    <row r="243" spans="2:21" ht="13.2" x14ac:dyDescent="0.25">
      <c r="B243" s="40" t="str">
        <f>[2]Base!A243</f>
        <v>TAESA</v>
      </c>
      <c r="C243" s="41" t="str">
        <f>[2]Base!C243</f>
        <v>N2</v>
      </c>
      <c r="D243" s="19" t="s">
        <v>60</v>
      </c>
      <c r="E243" s="2" t="str">
        <f>[2]Base!M243</f>
        <v>BTG Pactual</v>
      </c>
      <c r="F243" s="170" t="str">
        <f>[2]Base!F243</f>
        <v>FOLLOW-ON</v>
      </c>
      <c r="G243" s="19" t="str">
        <f>[2]Base!G243</f>
        <v>ICVM 400</v>
      </c>
      <c r="H243" s="53">
        <f>[2]Base!X243</f>
        <v>41109</v>
      </c>
      <c r="I243" s="198">
        <f>[2]Base!W243</f>
        <v>65</v>
      </c>
      <c r="J243" s="188">
        <f>[2]Base!J243</f>
        <v>41110</v>
      </c>
      <c r="K243" s="189">
        <f>'[1]SITE (Imprensa)_PT'!K243</f>
        <v>1547</v>
      </c>
      <c r="L243" s="189">
        <f>[2]Base!DZ243</f>
        <v>2184</v>
      </c>
      <c r="M243" s="190">
        <f>[2]Base!AO243</f>
        <v>1755000000</v>
      </c>
      <c r="N243" s="190">
        <f>[2]Base!AP243</f>
        <v>0</v>
      </c>
      <c r="O243" s="190">
        <f>[2]Base!AQ243</f>
        <v>1755000000</v>
      </c>
      <c r="P243" s="190">
        <f>+[2]Base!ED243</f>
        <v>867652148.11885107</v>
      </c>
      <c r="Q243" s="191">
        <f>'[1]SITE (Imprensa)_PT'!P243</f>
        <v>3.8474296296296298E-2</v>
      </c>
      <c r="R243" s="157">
        <f>'[1]SITE (Imprensa)_PT'!Q243</f>
        <v>0.3166977777777778</v>
      </c>
      <c r="S243" s="157">
        <f>'[1]SITE (Imprensa)_PT'!R243</f>
        <v>0.54748325925925923</v>
      </c>
      <c r="T243" s="158">
        <f>'[1]SITE (Imprensa)_PT'!S243</f>
        <v>9.7344666666666663E-2</v>
      </c>
      <c r="U243" s="1"/>
    </row>
    <row r="244" spans="2:21" ht="13.2" x14ac:dyDescent="0.25">
      <c r="B244" s="40" t="str">
        <f>[2]Base!A244</f>
        <v>MINERVA</v>
      </c>
      <c r="C244" s="41" t="str">
        <f>[2]Base!C244</f>
        <v>NM</v>
      </c>
      <c r="D244" s="19" t="s">
        <v>86</v>
      </c>
      <c r="E244" s="2" t="str">
        <f>[2]Base!M244</f>
        <v>BTG Pactual</v>
      </c>
      <c r="F244" s="170" t="str">
        <f>[2]Base!F244</f>
        <v>FOLLOW-ON</v>
      </c>
      <c r="G244" s="19" t="str">
        <f>[2]Base!G244</f>
        <v>ICVM 400</v>
      </c>
      <c r="H244" s="20">
        <f>[2]Base!X244</f>
        <v>41241</v>
      </c>
      <c r="I244" s="187">
        <f>[2]Base!W244</f>
        <v>11</v>
      </c>
      <c r="J244" s="188">
        <f>[2]Base!J244</f>
        <v>41243</v>
      </c>
      <c r="K244" s="189">
        <f>'[1]SITE (Imprensa)_PT'!K244</f>
        <v>1142</v>
      </c>
      <c r="L244" s="189">
        <f>[2]Base!DZ244</f>
        <v>1483</v>
      </c>
      <c r="M244" s="190">
        <f>[2]Base!AO244</f>
        <v>415391900</v>
      </c>
      <c r="N244" s="190">
        <f>[2]Base!AP244</f>
        <v>82500000</v>
      </c>
      <c r="O244" s="190">
        <f>[2]Base!AQ244</f>
        <v>497891900</v>
      </c>
      <c r="P244" s="190">
        <f>+[2]Base!ED244</f>
        <v>236258849.76748598</v>
      </c>
      <c r="Q244" s="191">
        <f>'[1]SITE (Imprensa)_PT'!P244</f>
        <v>9.5067259259259254E-2</v>
      </c>
      <c r="R244" s="157">
        <f>'[1]SITE (Imprensa)_PT'!Q244</f>
        <v>0.41931348148148151</v>
      </c>
      <c r="S244" s="157">
        <f>'[1]SITE (Imprensa)_PT'!R244</f>
        <v>0.43512325925925927</v>
      </c>
      <c r="T244" s="158">
        <f>'[1]SITE (Imprensa)_PT'!S244</f>
        <v>5.0495999999999999E-2</v>
      </c>
      <c r="U244" s="1"/>
    </row>
    <row r="245" spans="2:21" ht="13.2" x14ac:dyDescent="0.25">
      <c r="B245" s="40" t="str">
        <f>[2]Base!A245</f>
        <v>MARFRIG</v>
      </c>
      <c r="C245" s="41" t="str">
        <f>[2]Base!C245</f>
        <v>NM</v>
      </c>
      <c r="D245" s="19" t="s">
        <v>86</v>
      </c>
      <c r="E245" s="2" t="str">
        <f>[2]Base!M245</f>
        <v>Itaú BBA</v>
      </c>
      <c r="F245" s="170" t="str">
        <f>[2]Base!F245</f>
        <v>FOLLOW-ON</v>
      </c>
      <c r="G245" s="19" t="str">
        <f>[2]Base!G245</f>
        <v>ICVM 400</v>
      </c>
      <c r="H245" s="53">
        <f>[2]Base!X245</f>
        <v>41247</v>
      </c>
      <c r="I245" s="198">
        <f>[2]Base!W245</f>
        <v>8</v>
      </c>
      <c r="J245" s="188">
        <f>[2]Base!J245</f>
        <v>41249</v>
      </c>
      <c r="K245" s="189">
        <f>'[1]SITE (Imprensa)_PT'!K245</f>
        <v>2439</v>
      </c>
      <c r="L245" s="189">
        <f>[2]Base!DZ245</f>
        <v>2881</v>
      </c>
      <c r="M245" s="190">
        <f>[2]Base!AO245</f>
        <v>1050000000.0000001</v>
      </c>
      <c r="N245" s="190">
        <f>[2]Base!AP245</f>
        <v>0</v>
      </c>
      <c r="O245" s="190">
        <f>[2]Base!AQ245</f>
        <v>1050000000.0000001</v>
      </c>
      <c r="P245" s="189">
        <f>+[2]Base!ED245</f>
        <v>503935496.2564792</v>
      </c>
      <c r="Q245" s="191">
        <f>'[1]SITE (Imprensa)_PT'!P245</f>
        <v>3.1339489523809522E-2</v>
      </c>
      <c r="R245" s="157">
        <f>'[1]SITE (Imprensa)_PT'!Q245</f>
        <v>0.25312121142857141</v>
      </c>
      <c r="S245" s="157">
        <f>'[1]SITE (Imprensa)_PT'!R245</f>
        <v>0.53749121523809529</v>
      </c>
      <c r="T245" s="158">
        <f>'[1]SITE (Imprensa)_PT'!S245</f>
        <v>0.1780480838095238</v>
      </c>
      <c r="U245" s="1"/>
    </row>
    <row r="246" spans="2:21" ht="13.2" x14ac:dyDescent="0.25">
      <c r="B246" s="40" t="str">
        <f>[2]Base!A246</f>
        <v>EQUATORIAL</v>
      </c>
      <c r="C246" s="41" t="str">
        <f>[2]Base!C246</f>
        <v>NM</v>
      </c>
      <c r="D246" s="19" t="s">
        <v>60</v>
      </c>
      <c r="E246" s="2" t="str">
        <f>[2]Base!M246</f>
        <v>BTG Pactual</v>
      </c>
      <c r="F246" s="170" t="str">
        <f>[2]Base!F246</f>
        <v>FOLLOW-ON</v>
      </c>
      <c r="G246" s="19" t="str">
        <f>[2]Base!G246</f>
        <v>ICVM 400</v>
      </c>
      <c r="H246" s="20">
        <f>[2]Base!X246</f>
        <v>41250</v>
      </c>
      <c r="I246" s="187">
        <f>[2]Base!W246</f>
        <v>16</v>
      </c>
      <c r="J246" s="188">
        <f>[2]Base!J246</f>
        <v>41253</v>
      </c>
      <c r="K246" s="189">
        <f>'[1]SITE (Imprensa)_PT'!K246</f>
        <v>3146</v>
      </c>
      <c r="L246" s="189">
        <f>[2]Base!DZ246</f>
        <v>3554</v>
      </c>
      <c r="M246" s="190">
        <f>[2]Base!AO246</f>
        <v>1210113984</v>
      </c>
      <c r="N246" s="190">
        <f>[2]Base!AP246</f>
        <v>210454608</v>
      </c>
      <c r="O246" s="190">
        <f>[2]Base!AQ246</f>
        <v>1420568592</v>
      </c>
      <c r="P246" s="189">
        <f>+[2]Base!ED246</f>
        <v>682637478.13551176</v>
      </c>
      <c r="Q246" s="191">
        <f>'[1]SITE (Imprensa)_PT'!P246</f>
        <v>6.7058207915102211E-2</v>
      </c>
      <c r="R246" s="157">
        <f>'[1]SITE (Imprensa)_PT'!Q246</f>
        <v>0.51489046014330009</v>
      </c>
      <c r="S246" s="157">
        <f>'[1]SITE (Imprensa)_PT'!R246</f>
        <v>0.41591203080745009</v>
      </c>
      <c r="T246" s="158">
        <f>'[1]SITE (Imprensa)_PT'!S246</f>
        <v>4.2392602750152874E-3</v>
      </c>
      <c r="U246" s="1"/>
    </row>
    <row r="247" spans="2:21" ht="13.8" thickBot="1" x14ac:dyDescent="0.3">
      <c r="B247" s="61" t="str">
        <f>[2]Base!A247</f>
        <v>ALIANSCE</v>
      </c>
      <c r="C247" s="62" t="str">
        <f>[2]Base!C247</f>
        <v>NM</v>
      </c>
      <c r="D247" s="31" t="s">
        <v>82</v>
      </c>
      <c r="E247" s="31" t="str">
        <f>[2]Base!M247</f>
        <v>Itaú BBA</v>
      </c>
      <c r="F247" s="31" t="str">
        <f>[2]Base!F247</f>
        <v>FOLLOW-ON</v>
      </c>
      <c r="G247" s="62" t="str">
        <f>[2]Base!G247</f>
        <v>ICVM 400</v>
      </c>
      <c r="H247" s="63">
        <f>[2]Base!X247</f>
        <v>41255</v>
      </c>
      <c r="I247" s="64">
        <f>[2]Base!W247</f>
        <v>23.25</v>
      </c>
      <c r="J247" s="192">
        <f>[2]Base!J247</f>
        <v>41257</v>
      </c>
      <c r="K247" s="193">
        <f>'[1]SITE (Imprensa)_PT'!K247</f>
        <v>3613</v>
      </c>
      <c r="L247" s="193">
        <f>[2]Base!DZ247</f>
        <v>3998</v>
      </c>
      <c r="M247" s="194">
        <f>[2]Base!AO247</f>
        <v>447629692.5</v>
      </c>
      <c r="N247" s="194">
        <f>[2]Base!AP247</f>
        <v>0</v>
      </c>
      <c r="O247" s="194">
        <f>[2]Base!AQ247</f>
        <v>447629692.5</v>
      </c>
      <c r="P247" s="194">
        <f>+[2]Base!ED247</f>
        <v>214793518.47408828</v>
      </c>
      <c r="Q247" s="159">
        <f>'[1]SITE (Imprensa)_PT'!P247</f>
        <v>0.10899973977932663</v>
      </c>
      <c r="R247" s="159">
        <f>'[1]SITE (Imprensa)_PT'!Q247</f>
        <v>0.36462598602079999</v>
      </c>
      <c r="S247" s="159">
        <f>'[1]SITE (Imprensa)_PT'!R247</f>
        <v>0.52315101784719076</v>
      </c>
      <c r="T247" s="160">
        <f>'[1]SITE (Imprensa)_PT'!S247</f>
        <v>3.2232563526826364E-3</v>
      </c>
      <c r="U247" s="1"/>
    </row>
    <row r="248" spans="2:21" ht="13.8" thickTop="1" x14ac:dyDescent="0.25">
      <c r="B248" s="73" t="str">
        <f>[2]Base!A248</f>
        <v>ESTACIO PART</v>
      </c>
      <c r="C248" s="202" t="str">
        <f>[2]Base!C248</f>
        <v>NM</v>
      </c>
      <c r="D248" s="202" t="s">
        <v>93</v>
      </c>
      <c r="E248" s="203" t="str">
        <f>[2]Base!M248</f>
        <v>Credit Suisse</v>
      </c>
      <c r="F248" s="204" t="str">
        <f>[2]Base!F248</f>
        <v>FOLLOW-ON</v>
      </c>
      <c r="G248" s="205" t="str">
        <f>[2]Base!G248</f>
        <v>ICVM 400</v>
      </c>
      <c r="H248" s="75">
        <f>[2]Base!X248</f>
        <v>41297</v>
      </c>
      <c r="I248" s="76">
        <f>[2]Base!W248</f>
        <v>42</v>
      </c>
      <c r="J248" s="206">
        <f>[2]Base!J248</f>
        <v>41302</v>
      </c>
      <c r="K248" s="207">
        <f>'[1]SITE (Imprensa)_PT'!K248</f>
        <v>6213</v>
      </c>
      <c r="L248" s="208">
        <f>[2]Base!DZ248</f>
        <v>6708</v>
      </c>
      <c r="M248" s="186">
        <f>[2]Base!AO248</f>
        <v>616858200</v>
      </c>
      <c r="N248" s="209">
        <f>[2]Base!AP248</f>
        <v>151826346</v>
      </c>
      <c r="O248" s="209">
        <f>[2]Base!AQ248</f>
        <v>768684546</v>
      </c>
      <c r="P248" s="209">
        <f>+[2]Base!ED248</f>
        <v>379766091.59626502</v>
      </c>
      <c r="Q248" s="210">
        <f>'[1]SITE (Imprensa)_PT'!P248</f>
        <v>0.10314023927313351</v>
      </c>
      <c r="R248" s="210">
        <f>'[1]SITE (Imprensa)_PT'!Q248</f>
        <v>0.34422896541489728</v>
      </c>
      <c r="S248" s="211">
        <f>'[1]SITE (Imprensa)_PT'!R248</f>
        <v>0.55040502921727785</v>
      </c>
      <c r="T248" s="212">
        <f>'[1]SITE (Imprensa)_PT'!S248</f>
        <v>2.2257660946913326E-3</v>
      </c>
      <c r="U248" s="1"/>
    </row>
    <row r="249" spans="2:21" ht="13.2" x14ac:dyDescent="0.25">
      <c r="B249" s="40" t="str">
        <f>[2]Base!A249</f>
        <v>LINX</v>
      </c>
      <c r="C249" s="41" t="str">
        <f>[2]Base!C249</f>
        <v>NM</v>
      </c>
      <c r="D249" s="19" t="s">
        <v>78</v>
      </c>
      <c r="E249" s="2" t="str">
        <f>[2]Base!M249</f>
        <v>Credit Suisse</v>
      </c>
      <c r="F249" s="174" t="str">
        <f>[2]Base!F249</f>
        <v>IPO</v>
      </c>
      <c r="G249" s="19" t="str">
        <f>[2]Base!G249</f>
        <v>ICVM 400</v>
      </c>
      <c r="H249" s="20">
        <f>[2]Base!X249</f>
        <v>41311</v>
      </c>
      <c r="I249" s="187">
        <f>[2]Base!W249</f>
        <v>27</v>
      </c>
      <c r="J249" s="188">
        <f>[2]Base!J249</f>
        <v>41313</v>
      </c>
      <c r="K249" s="189">
        <f>'[1]SITE (Imprensa)_PT'!K249</f>
        <v>6247</v>
      </c>
      <c r="L249" s="189">
        <f>[2]Base!DZ249</f>
        <v>6923</v>
      </c>
      <c r="M249" s="190">
        <f>[2]Base!AO249</f>
        <v>343102500</v>
      </c>
      <c r="N249" s="190">
        <f>[2]Base!AP249</f>
        <v>184747500</v>
      </c>
      <c r="O249" s="190">
        <f>[2]Base!AQ249</f>
        <v>527850000</v>
      </c>
      <c r="P249" s="189">
        <f>+[2]Base!ED249</f>
        <v>268817478.10144633</v>
      </c>
      <c r="Q249" s="191">
        <f>'[1]SITE (Imprensa)_PT'!P249</f>
        <v>0.11018925831202046</v>
      </c>
      <c r="R249" s="157">
        <f>'[1]SITE (Imprensa)_PT'!Q249</f>
        <v>0.26624680306905368</v>
      </c>
      <c r="S249" s="157">
        <f>'[1]SITE (Imprensa)_PT'!R249</f>
        <v>0.6218769309462916</v>
      </c>
      <c r="T249" s="158">
        <f>'[1]SITE (Imprensa)_PT'!S249</f>
        <v>1.6870076726342711E-3</v>
      </c>
      <c r="U249" s="1"/>
    </row>
    <row r="250" spans="2:21" ht="13.2" x14ac:dyDescent="0.25">
      <c r="B250" s="40" t="str">
        <f>[2]Base!A250</f>
        <v>SENIOR SOL</v>
      </c>
      <c r="C250" s="41" t="str">
        <f>[2]Base!C250</f>
        <v>MA</v>
      </c>
      <c r="D250" s="19" t="s">
        <v>78</v>
      </c>
      <c r="E250" s="2" t="str">
        <f>[2]Base!M250</f>
        <v>Banco Votorantim</v>
      </c>
      <c r="F250" s="170" t="str">
        <f>[2]Base!F250</f>
        <v>IPO</v>
      </c>
      <c r="G250" s="19" t="str">
        <f>[2]Base!G250</f>
        <v>ICVM 400</v>
      </c>
      <c r="H250" s="20">
        <f>[2]Base!X250</f>
        <v>41339</v>
      </c>
      <c r="I250" s="187">
        <f>[2]Base!W250</f>
        <v>11.5</v>
      </c>
      <c r="J250" s="188">
        <f>[2]Base!J250</f>
        <v>41341</v>
      </c>
      <c r="K250" s="189">
        <f>'[1]SITE (Imprensa)_PT'!K250</f>
        <v>1221</v>
      </c>
      <c r="L250" s="189">
        <f>[2]Base!DZ250</f>
        <v>1318</v>
      </c>
      <c r="M250" s="190">
        <f>[2]Base!AO250</f>
        <v>39655162.5</v>
      </c>
      <c r="N250" s="190">
        <f>[2]Base!AP250</f>
        <v>17806830</v>
      </c>
      <c r="O250" s="190">
        <f>[2]Base!AQ250</f>
        <v>57461992.5</v>
      </c>
      <c r="P250" s="189">
        <f>+[2]Base!ED250</f>
        <v>29425436.552642357</v>
      </c>
      <c r="Q250" s="191">
        <f>'[1]SITE (Imprensa)_PT'!P250</f>
        <v>0.31035520386469501</v>
      </c>
      <c r="R250" s="157">
        <f>'[1]SITE (Imprensa)_PT'!Q250</f>
        <v>0.45096289090133984</v>
      </c>
      <c r="S250" s="157">
        <f>'[1]SITE (Imprensa)_PT'!R250</f>
        <v>0.13112350064131076</v>
      </c>
      <c r="T250" s="158">
        <f>'[1]SITE (Imprensa)_PT'!S250</f>
        <v>0.10755840459265438</v>
      </c>
      <c r="U250" s="1"/>
    </row>
    <row r="251" spans="2:21" ht="13.2" x14ac:dyDescent="0.25">
      <c r="B251" s="40" t="str">
        <f>[2]Base!A251</f>
        <v>MULTIPLAN</v>
      </c>
      <c r="C251" s="41" t="str">
        <f>[2]Base!C251</f>
        <v>N2</v>
      </c>
      <c r="D251" s="19" t="s">
        <v>82</v>
      </c>
      <c r="E251" s="2" t="str">
        <f>[2]Base!M251</f>
        <v>Credit Suisse</v>
      </c>
      <c r="F251" s="170" t="str">
        <f>[2]Base!F251</f>
        <v>FOLLOW-ON</v>
      </c>
      <c r="G251" s="19" t="str">
        <f>[2]Base!G251</f>
        <v>ICVM 400</v>
      </c>
      <c r="H251" s="20">
        <f>[2]Base!X251</f>
        <v>41360</v>
      </c>
      <c r="I251" s="187">
        <f>[2]Base!W251</f>
        <v>58</v>
      </c>
      <c r="J251" s="188">
        <f>[2]Base!J251</f>
        <v>41365</v>
      </c>
      <c r="K251" s="189">
        <f>'[1]SITE (Imprensa)_PT'!K251</f>
        <v>8158</v>
      </c>
      <c r="L251" s="189">
        <f>[2]Base!DZ251</f>
        <v>8887</v>
      </c>
      <c r="M251" s="190">
        <f>[2]Base!AO251</f>
        <v>626400000</v>
      </c>
      <c r="N251" s="190">
        <f>[2]Base!AP251</f>
        <v>0</v>
      </c>
      <c r="O251" s="190">
        <f>[2]Base!AQ251</f>
        <v>626400000</v>
      </c>
      <c r="P251" s="189">
        <f>+[2]Base!ED251</f>
        <v>310314079.06469828</v>
      </c>
      <c r="Q251" s="191">
        <f>'[1]SITE (Imprensa)_PT'!P251</f>
        <v>0.10256872427983539</v>
      </c>
      <c r="R251" s="157">
        <f>'[1]SITE (Imprensa)_PT'!Q251</f>
        <v>0.24916090534979424</v>
      </c>
      <c r="S251" s="157">
        <f>'[1]SITE (Imprensa)_PT'!R251</f>
        <v>0.50307950617283947</v>
      </c>
      <c r="T251" s="158">
        <f>'[1]SITE (Imprensa)_PT'!S251</f>
        <v>0.14519086419753086</v>
      </c>
      <c r="U251" s="1"/>
    </row>
    <row r="252" spans="2:21" ht="13.2" x14ac:dyDescent="0.25">
      <c r="B252" s="40" t="str">
        <f>[2]Base!A252</f>
        <v>BIOSEV</v>
      </c>
      <c r="C252" s="41" t="str">
        <f>[2]Base!C252</f>
        <v>NM</v>
      </c>
      <c r="D252" s="19" t="s">
        <v>91</v>
      </c>
      <c r="E252" s="2" t="str">
        <f>[2]Base!M252</f>
        <v>BTG Pactual</v>
      </c>
      <c r="F252" s="170" t="str">
        <f>[2]Base!F252</f>
        <v>IPO</v>
      </c>
      <c r="G252" s="19" t="str">
        <f>[2]Base!G252</f>
        <v>ICVM 400</v>
      </c>
      <c r="H252" s="20">
        <f>[2]Base!X252</f>
        <v>41379</v>
      </c>
      <c r="I252" s="187">
        <f>[2]Base!W252</f>
        <v>15</v>
      </c>
      <c r="J252" s="188">
        <f>[2]Base!J252</f>
        <v>41383</v>
      </c>
      <c r="K252" s="189">
        <f>'[1]SITE (Imprensa)_PT'!K252</f>
        <v>890</v>
      </c>
      <c r="L252" s="189">
        <f>[2]Base!DZ252</f>
        <v>961</v>
      </c>
      <c r="M252" s="190">
        <f>[2]Base!AO252</f>
        <v>700000005</v>
      </c>
      <c r="N252" s="190">
        <f>[2]Base!AP252</f>
        <v>0</v>
      </c>
      <c r="O252" s="190">
        <f>[2]Base!AQ252</f>
        <v>700000005</v>
      </c>
      <c r="P252" s="189">
        <f>+[2]Base!ED252</f>
        <v>348449402.65817112</v>
      </c>
      <c r="Q252" s="191">
        <f>'[1]SITE (Imprensa)_PT'!P252</f>
        <v>2.086973870768085E-2</v>
      </c>
      <c r="R252" s="157">
        <f>'[1]SITE (Imprensa)_PT'!Q252</f>
        <v>0.21189738606233138</v>
      </c>
      <c r="S252" s="157">
        <f>'[1]SITE (Imprensa)_PT'!R252</f>
        <v>0.76653719754712113</v>
      </c>
      <c r="T252" s="158">
        <f>'[1]SITE (Imprensa)_PT'!S252</f>
        <v>6.9567768286663337E-4</v>
      </c>
      <c r="U252" s="1"/>
    </row>
    <row r="253" spans="2:21" ht="13.2" x14ac:dyDescent="0.25">
      <c r="B253" s="40" t="str">
        <f>[2]Base!A253</f>
        <v>BHG</v>
      </c>
      <c r="C253" s="41" t="str">
        <f>[2]Base!C253</f>
        <v>NM</v>
      </c>
      <c r="D253" s="19" t="s">
        <v>125</v>
      </c>
      <c r="E253" s="2" t="str">
        <f>[2]Base!M253</f>
        <v>Itaú BBA</v>
      </c>
      <c r="F253" s="170" t="str">
        <f>[2]Base!F253</f>
        <v>FOLLOW-ON</v>
      </c>
      <c r="G253" s="19" t="str">
        <f>[2]Base!G253</f>
        <v>ICVM 400</v>
      </c>
      <c r="H253" s="20">
        <f>[2]Base!X253</f>
        <v>41382</v>
      </c>
      <c r="I253" s="187">
        <f>[2]Base!W253</f>
        <v>17.5</v>
      </c>
      <c r="J253" s="188">
        <f>[2]Base!J253</f>
        <v>41386</v>
      </c>
      <c r="K253" s="189">
        <f>'[1]SITE (Imprensa)_PT'!K253</f>
        <v>3776</v>
      </c>
      <c r="L253" s="189">
        <f>[2]Base!DZ253</f>
        <v>3963</v>
      </c>
      <c r="M253" s="190">
        <f>[2]Base!AO253</f>
        <v>355490520</v>
      </c>
      <c r="N253" s="190">
        <f>[2]Base!AP253</f>
        <v>0</v>
      </c>
      <c r="O253" s="190">
        <f>[2]Base!AQ253</f>
        <v>355490520</v>
      </c>
      <c r="P253" s="189">
        <f>+[2]Base!ED253</f>
        <v>176387079.48794284</v>
      </c>
      <c r="Q253" s="191">
        <f>'[1]SITE (Imprensa)_PT'!P253</f>
        <v>0.19179686986311137</v>
      </c>
      <c r="R253" s="157">
        <f>'[1]SITE (Imprensa)_PT'!Q253</f>
        <v>0.20063567535169541</v>
      </c>
      <c r="S253" s="157">
        <f>'[1]SITE (Imprensa)_PT'!R253</f>
        <v>0.59189922099416914</v>
      </c>
      <c r="T253" s="158">
        <f>'[1]SITE (Imprensa)_PT'!S253</f>
        <v>1.5668233791024031E-2</v>
      </c>
      <c r="U253" s="1"/>
    </row>
    <row r="254" spans="2:21" ht="13.2" x14ac:dyDescent="0.25">
      <c r="B254" s="40" t="str">
        <f>[2]Base!A254</f>
        <v>ALUPAR</v>
      </c>
      <c r="C254" s="41" t="str">
        <f>[2]Base!C254</f>
        <v>N2</v>
      </c>
      <c r="D254" s="19" t="s">
        <v>60</v>
      </c>
      <c r="E254" s="2" t="str">
        <f>[2]Base!M254</f>
        <v>Itaú BBA</v>
      </c>
      <c r="F254" s="170" t="str">
        <f>[2]Base!F254</f>
        <v>IPO</v>
      </c>
      <c r="G254" s="19" t="str">
        <f>[2]Base!G254</f>
        <v>ICVM 400</v>
      </c>
      <c r="H254" s="20">
        <f>[2]Base!X254</f>
        <v>41386</v>
      </c>
      <c r="I254" s="187">
        <f>[2]Base!W254</f>
        <v>18.5</v>
      </c>
      <c r="J254" s="188">
        <f>[2]Base!J254</f>
        <v>41388</v>
      </c>
      <c r="K254" s="189">
        <f>'[1]SITE (Imprensa)_PT'!K254</f>
        <v>4935</v>
      </c>
      <c r="L254" s="189">
        <f>[2]Base!DZ254</f>
        <v>5310</v>
      </c>
      <c r="M254" s="190">
        <f>[2]Base!AO254</f>
        <v>821226100</v>
      </c>
      <c r="N254" s="190">
        <f>[2]Base!AP254</f>
        <v>0</v>
      </c>
      <c r="O254" s="190">
        <f>[2]Base!AQ254</f>
        <v>821226100</v>
      </c>
      <c r="P254" s="189">
        <f>+[2]Base!ED254</f>
        <v>405663949.81229007</v>
      </c>
      <c r="Q254" s="191">
        <f>'[1]SITE (Imprensa)_PT'!P254</f>
        <v>0.14884397826086956</v>
      </c>
      <c r="R254" s="157">
        <f>'[1]SITE (Imprensa)_PT'!Q254</f>
        <v>0.29556986956521741</v>
      </c>
      <c r="S254" s="157">
        <f>'[1]SITE (Imprensa)_PT'!R254</f>
        <v>0.54857250000000002</v>
      </c>
      <c r="T254" s="158">
        <f>'[1]SITE (Imprensa)_PT'!S254</f>
        <v>7.0136521739130432E-3</v>
      </c>
      <c r="U254" s="1"/>
    </row>
    <row r="255" spans="2:21" ht="13.2" x14ac:dyDescent="0.25">
      <c r="B255" s="40" t="str">
        <f>[2]Base!A255</f>
        <v>ABRIL EDUCA</v>
      </c>
      <c r="C255" s="41" t="str">
        <f>[2]Base!C255</f>
        <v>N2</v>
      </c>
      <c r="D255" s="19" t="s">
        <v>79</v>
      </c>
      <c r="E255" s="2" t="str">
        <f>[2]Base!M255</f>
        <v>Itaú BBA</v>
      </c>
      <c r="F255" s="170" t="str">
        <f>[2]Base!F255</f>
        <v>FOLLOW-ON</v>
      </c>
      <c r="G255" s="19" t="str">
        <f>[2]Base!G255</f>
        <v>ICVM 400</v>
      </c>
      <c r="H255" s="20">
        <f>[2]Base!X255</f>
        <v>41388</v>
      </c>
      <c r="I255" s="187">
        <f>[2]Base!W255</f>
        <v>45</v>
      </c>
      <c r="J255" s="188">
        <f>[2]Base!J255</f>
        <v>41390</v>
      </c>
      <c r="K255" s="189">
        <f>'[1]SITE (Imprensa)_PT'!K255</f>
        <v>3026</v>
      </c>
      <c r="L255" s="189">
        <f>[2]Base!DZ255</f>
        <v>3269</v>
      </c>
      <c r="M255" s="190">
        <f>[2]Base!AO255</f>
        <v>126673920</v>
      </c>
      <c r="N255" s="190">
        <f>[2]Base!AP255</f>
        <v>395222535</v>
      </c>
      <c r="O255" s="190">
        <f>[2]Base!AQ255</f>
        <v>521896455</v>
      </c>
      <c r="P255" s="189">
        <f>+[2]Base!ED255</f>
        <v>259404769.12371394</v>
      </c>
      <c r="Q255" s="191">
        <f>'[1]SITE (Imprensa)_PT'!P255</f>
        <v>0.12328643514176947</v>
      </c>
      <c r="R255" s="157">
        <f>'[1]SITE (Imprensa)_PT'!Q255</f>
        <v>0.29670598176568308</v>
      </c>
      <c r="S255" s="157">
        <f>'[1]SITE (Imprensa)_PT'!R255</f>
        <v>0.54130798585114526</v>
      </c>
      <c r="T255" s="158">
        <f>'[1]SITE (Imprensa)_PT'!S255</f>
        <v>3.8699597241402213E-2</v>
      </c>
      <c r="U255" s="1"/>
    </row>
    <row r="256" spans="2:21" ht="13.2" x14ac:dyDescent="0.25">
      <c r="B256" s="40" t="str">
        <f>[2]Base!A256</f>
        <v>BB SEGURIDADE</v>
      </c>
      <c r="C256" s="41" t="str">
        <f>[2]Base!C256</f>
        <v>NM</v>
      </c>
      <c r="D256" s="19" t="s">
        <v>64</v>
      </c>
      <c r="E256" s="2" t="str">
        <f>[2]Base!M256</f>
        <v>BB Investimentos</v>
      </c>
      <c r="F256" s="170" t="str">
        <f>[2]Base!F256</f>
        <v>IPO</v>
      </c>
      <c r="G256" s="19" t="str">
        <f>[2]Base!G256</f>
        <v>ICVM 400</v>
      </c>
      <c r="H256" s="20">
        <f>[2]Base!X256</f>
        <v>41389</v>
      </c>
      <c r="I256" s="187">
        <f>[2]Base!W256</f>
        <v>17</v>
      </c>
      <c r="J256" s="188">
        <f>[2]Base!J256</f>
        <v>41393</v>
      </c>
      <c r="K256" s="189">
        <f>'[1]SITE (Imprensa)_PT'!K256</f>
        <v>103359</v>
      </c>
      <c r="L256" s="189">
        <f>[2]Base!DZ256</f>
        <v>114335</v>
      </c>
      <c r="M256" s="190">
        <f>[2]Base!AO256</f>
        <v>0</v>
      </c>
      <c r="N256" s="190">
        <f>[2]Base!AP256</f>
        <v>11475000000</v>
      </c>
      <c r="O256" s="190">
        <f>[2]Base!AQ256</f>
        <v>11475000000</v>
      </c>
      <c r="P256" s="189">
        <f>+[2]Base!ED256</f>
        <v>5737786889.3444672</v>
      </c>
      <c r="Q256" s="191">
        <f>'[1]SITE (Imprensa)_PT'!P256</f>
        <v>0.16073981925925926</v>
      </c>
      <c r="R256" s="157">
        <f>'[1]SITE (Imprensa)_PT'!Q256</f>
        <v>0.23057455851851852</v>
      </c>
      <c r="S256" s="157">
        <f>'[1]SITE (Imprensa)_PT'!R256</f>
        <v>0.58362914222222217</v>
      </c>
      <c r="T256" s="158">
        <f>'[1]SITE (Imprensa)_PT'!S256</f>
        <v>2.5056479999999999E-2</v>
      </c>
      <c r="U256" s="1"/>
    </row>
    <row r="257" spans="2:21" ht="13.2" x14ac:dyDescent="0.25">
      <c r="B257" s="40" t="str">
        <f>[2]Base!A257</f>
        <v>SMILES</v>
      </c>
      <c r="C257" s="41" t="str">
        <f>[2]Base!C257</f>
        <v>NM</v>
      </c>
      <c r="D257" s="19" t="s">
        <v>112</v>
      </c>
      <c r="E257" s="2" t="str">
        <f>[2]Base!M257</f>
        <v>Credit Suisse</v>
      </c>
      <c r="F257" s="174" t="str">
        <f>[2]Base!F257</f>
        <v>IPO</v>
      </c>
      <c r="G257" s="19" t="str">
        <f>[2]Base!G257</f>
        <v>ICVM 400</v>
      </c>
      <c r="H257" s="20">
        <f>[2]Base!X257</f>
        <v>41389</v>
      </c>
      <c r="I257" s="187">
        <f>[2]Base!W257</f>
        <v>21.7</v>
      </c>
      <c r="J257" s="188">
        <f>[2]Base!J257</f>
        <v>41393</v>
      </c>
      <c r="K257" s="189">
        <f>'[1]SITE (Imprensa)_PT'!K257</f>
        <v>3655</v>
      </c>
      <c r="L257" s="189">
        <f>[2]Base!DZ257</f>
        <v>4096</v>
      </c>
      <c r="M257" s="190">
        <f>[2]Base!AO257</f>
        <v>1132173890.3999999</v>
      </c>
      <c r="N257" s="190">
        <f>[2]Base!AP257</f>
        <v>0</v>
      </c>
      <c r="O257" s="190">
        <f>[2]Base!AQ257</f>
        <v>1132173890.3999999</v>
      </c>
      <c r="P257" s="189">
        <f>+[2]Base!ED257</f>
        <v>566115250.96254802</v>
      </c>
      <c r="Q257" s="191">
        <f>'[1]SITE (Imprensa)_PT'!P257</f>
        <v>9.4462631055919288E-2</v>
      </c>
      <c r="R257" s="157">
        <f>'[1]SITE (Imprensa)_PT'!Q257</f>
        <v>0.14487493289749867</v>
      </c>
      <c r="S257" s="157">
        <f>'[1]SITE (Imprensa)_PT'!R257</f>
        <v>0.40182225553644513</v>
      </c>
      <c r="T257" s="158">
        <f>'[1]SITE (Imprensa)_PT'!S257</f>
        <v>0.358840180510137</v>
      </c>
      <c r="U257" s="1"/>
    </row>
    <row r="258" spans="2:21" ht="13.2" x14ac:dyDescent="0.25">
      <c r="B258" s="40" t="str">
        <f>[2]Base!A258</f>
        <v>IGUATEMI</v>
      </c>
      <c r="C258" s="41" t="str">
        <f>[2]Base!C258</f>
        <v>NM</v>
      </c>
      <c r="D258" s="19" t="s">
        <v>82</v>
      </c>
      <c r="E258" s="2" t="str">
        <f>[2]Base!M258</f>
        <v>Itaú BBA</v>
      </c>
      <c r="F258" s="170" t="str">
        <f>[2]Base!F258</f>
        <v>FOLLOW-ON</v>
      </c>
      <c r="G258" s="19" t="str">
        <f>[2]Base!G258</f>
        <v>ICVM 400</v>
      </c>
      <c r="H258" s="20">
        <f>[2]Base!X258</f>
        <v>41429</v>
      </c>
      <c r="I258" s="187">
        <f>[2]Base!W258</f>
        <v>23.5</v>
      </c>
      <c r="J258" s="188">
        <f>[2]Base!J258</f>
        <v>41431</v>
      </c>
      <c r="K258" s="189">
        <f>'[1]SITE (Imprensa)_PT'!K258</f>
        <v>1892</v>
      </c>
      <c r="L258" s="189">
        <f>[2]Base!DZ258</f>
        <v>2082</v>
      </c>
      <c r="M258" s="190">
        <f>[2]Base!AO258</f>
        <v>425364100</v>
      </c>
      <c r="N258" s="190">
        <f>[2]Base!AP258</f>
        <v>0</v>
      </c>
      <c r="O258" s="190">
        <f>[2]Base!AQ258</f>
        <v>425364100</v>
      </c>
      <c r="P258" s="189">
        <f>+[2]Base!ED258</f>
        <v>200171341.17647058</v>
      </c>
      <c r="Q258" s="191">
        <f>'[1]SITE (Imprensa)_PT'!P258</f>
        <v>9.7606521739130439E-2</v>
      </c>
      <c r="R258" s="157">
        <f>'[1]SITE (Imprensa)_PT'!Q258</f>
        <v>0.21499217391304348</v>
      </c>
      <c r="S258" s="157">
        <f>'[1]SITE (Imprensa)_PT'!R258</f>
        <v>0.57553108695652178</v>
      </c>
      <c r="T258" s="158">
        <f>'[1]SITE (Imprensa)_PT'!S258</f>
        <v>0.11187021739130434</v>
      </c>
      <c r="U258" s="1"/>
    </row>
    <row r="259" spans="2:21" ht="13.2" x14ac:dyDescent="0.25">
      <c r="B259" s="40" t="str">
        <f>[2]Base!A259</f>
        <v>CPFL RENOVAV</v>
      </c>
      <c r="C259" s="41" t="str">
        <f>[2]Base!C259</f>
        <v>NM</v>
      </c>
      <c r="D259" s="19" t="s">
        <v>126</v>
      </c>
      <c r="E259" s="2" t="str">
        <f>[2]Base!M259</f>
        <v>BofA Merrill Lynch</v>
      </c>
      <c r="F259" s="170" t="str">
        <f>[2]Base!F259</f>
        <v>IPO</v>
      </c>
      <c r="G259" s="19" t="str">
        <f>[2]Base!G259</f>
        <v>ICVM 400</v>
      </c>
      <c r="H259" s="20">
        <f>[2]Base!X259</f>
        <v>41472</v>
      </c>
      <c r="I259" s="187">
        <f>[2]Base!W259</f>
        <v>12.51</v>
      </c>
      <c r="J259" s="188">
        <f>[2]Base!J259</f>
        <v>41474</v>
      </c>
      <c r="K259" s="189">
        <f>'[1]SITE (Imprensa)_PT'!K259</f>
        <v>1260</v>
      </c>
      <c r="L259" s="189">
        <f>[2]Base!DZ259</f>
        <v>1321</v>
      </c>
      <c r="M259" s="190">
        <f>[2]Base!AO259</f>
        <v>364687304.13</v>
      </c>
      <c r="N259" s="190">
        <f>[2]Base!AP259</f>
        <v>549999998.27999997</v>
      </c>
      <c r="O259" s="190">
        <f>[2]Base!AQ259</f>
        <v>914687302.40999997</v>
      </c>
      <c r="P259" s="189">
        <f>+[2]Base!ED259</f>
        <v>408999866.93346447</v>
      </c>
      <c r="Q259" s="191">
        <f>'[1]SITE (Imprensa)_PT'!P259</f>
        <v>2.6374806171279609E-2</v>
      </c>
      <c r="R259" s="157">
        <f>'[1]SITE (Imprensa)_PT'!Q259</f>
        <v>0.4484682432779265</v>
      </c>
      <c r="S259" s="157">
        <f>'[1]SITE (Imprensa)_PT'!R259</f>
        <v>0.24915857438532565</v>
      </c>
      <c r="T259" s="158">
        <f>'[1]SITE (Imprensa)_PT'!S259</f>
        <v>0.27599837616546824</v>
      </c>
      <c r="U259" s="1"/>
    </row>
    <row r="260" spans="2:21" ht="13.2" x14ac:dyDescent="0.25">
      <c r="B260" s="40" t="str">
        <f>[2]Base!A260</f>
        <v>TUPY</v>
      </c>
      <c r="C260" s="41" t="str">
        <f>[2]Base!C260</f>
        <v>NM</v>
      </c>
      <c r="D260" s="213" t="s">
        <v>115</v>
      </c>
      <c r="E260" s="214" t="str">
        <f>[2]Base!M260</f>
        <v>Citi</v>
      </c>
      <c r="F260" s="170" t="str">
        <f>[2]Base!F260</f>
        <v>FOLLOW-ON</v>
      </c>
      <c r="G260" s="19" t="str">
        <f>[2]Base!G260</f>
        <v>ICVM 400</v>
      </c>
      <c r="H260" s="20">
        <f>[2]Base!X260</f>
        <v>41563</v>
      </c>
      <c r="I260" s="187">
        <f>[2]Base!W260</f>
        <v>17.5</v>
      </c>
      <c r="J260" s="188">
        <f>[2]Base!J260</f>
        <v>41565</v>
      </c>
      <c r="K260" s="189">
        <f>'[1]SITE (Imprensa)_PT'!K260</f>
        <v>322</v>
      </c>
      <c r="L260" s="189">
        <f>[2]Base!DZ260</f>
        <v>517</v>
      </c>
      <c r="M260" s="190">
        <f>[2]Base!AO260</f>
        <v>523250000</v>
      </c>
      <c r="N260" s="190">
        <f>[2]Base!AP260</f>
        <v>0</v>
      </c>
      <c r="O260" s="190">
        <f>[2]Base!AQ260</f>
        <v>523250000</v>
      </c>
      <c r="P260" s="189">
        <f>+[2]Base!ED260</f>
        <v>242245370.37037036</v>
      </c>
      <c r="Q260" s="191">
        <f>'[1]SITE (Imprensa)_PT'!P260</f>
        <v>5.6367892976588632E-2</v>
      </c>
      <c r="R260" s="157">
        <f>'[1]SITE (Imprensa)_PT'!Q260</f>
        <v>0.39699441471571906</v>
      </c>
      <c r="S260" s="157">
        <f>'[1]SITE (Imprensa)_PT'!R260</f>
        <v>0.54663197324414714</v>
      </c>
      <c r="T260" s="158">
        <f>'[1]SITE (Imprensa)_PT'!S260</f>
        <v>5.7190635451505019E-6</v>
      </c>
      <c r="U260" s="1"/>
    </row>
    <row r="261" spans="2:21" ht="13.2" x14ac:dyDescent="0.25">
      <c r="B261" s="40" t="str">
        <f>[2]Base!A261</f>
        <v>ANIMA</v>
      </c>
      <c r="C261" s="41" t="str">
        <f>[2]Base!C261</f>
        <v>NM</v>
      </c>
      <c r="D261" s="213" t="s">
        <v>93</v>
      </c>
      <c r="E261" s="214" t="str">
        <f>[2]Base!M261</f>
        <v>Itaú BBA</v>
      </c>
      <c r="F261" s="170" t="str">
        <f>[2]Base!F261</f>
        <v>IPO</v>
      </c>
      <c r="G261" s="19" t="str">
        <f>[2]Base!G261</f>
        <v>ICVM 400</v>
      </c>
      <c r="H261" s="20">
        <f>[2]Base!X261</f>
        <v>41571</v>
      </c>
      <c r="I261" s="187">
        <f>[2]Base!W261</f>
        <v>18.5</v>
      </c>
      <c r="J261" s="188">
        <f>[2]Base!J261</f>
        <v>41575</v>
      </c>
      <c r="K261" s="189">
        <f>'[1]SITE (Imprensa)_PT'!K261</f>
        <v>1218</v>
      </c>
      <c r="L261" s="189">
        <f>[2]Base!DZ261</f>
        <v>1487</v>
      </c>
      <c r="M261" s="190">
        <f>[2]Base!AO261</f>
        <v>426020571.5</v>
      </c>
      <c r="N261" s="190">
        <f>[2]Base!AP261</f>
        <v>78036348.5</v>
      </c>
      <c r="O261" s="190">
        <f>[2]Base!AQ261</f>
        <v>504056920</v>
      </c>
      <c r="P261" s="189">
        <f>+[2]Base!ED261</f>
        <v>231218770.64220181</v>
      </c>
      <c r="Q261" s="191">
        <f>'[1]SITE (Imprensa)_PT'!P261</f>
        <v>8.5953662733169109E-2</v>
      </c>
      <c r="R261" s="157">
        <f>'[1]SITE (Imprensa)_PT'!Q261</f>
        <v>0.40012687951987647</v>
      </c>
      <c r="S261" s="157">
        <f>'[1]SITE (Imprensa)_PT'!R261</f>
        <v>0.50890766165852852</v>
      </c>
      <c r="T261" s="158">
        <f>'[1]SITE (Imprensa)_PT'!S261</f>
        <v>5.0117960884258862E-3</v>
      </c>
      <c r="U261" s="1"/>
    </row>
    <row r="262" spans="2:21" ht="13.2" x14ac:dyDescent="0.25">
      <c r="B262" s="40" t="str">
        <f>[2]Base!A262</f>
        <v>SER EDUCA</v>
      </c>
      <c r="C262" s="41" t="str">
        <f>[2]Base!C262</f>
        <v>NM</v>
      </c>
      <c r="D262" s="213" t="s">
        <v>93</v>
      </c>
      <c r="E262" s="214" t="str">
        <f>[2]Base!M262</f>
        <v>BTG Pactual</v>
      </c>
      <c r="F262" s="170" t="str">
        <f>[2]Base!F262</f>
        <v>IPO</v>
      </c>
      <c r="G262" s="19" t="str">
        <f>[2]Base!G262</f>
        <v>ICVM 400</v>
      </c>
      <c r="H262" s="20">
        <f>[2]Base!X262</f>
        <v>41572</v>
      </c>
      <c r="I262" s="187">
        <f>[2]Base!W262</f>
        <v>17.5</v>
      </c>
      <c r="J262" s="188">
        <f>[2]Base!J262</f>
        <v>41576</v>
      </c>
      <c r="K262" s="189">
        <f>'[1]SITE (Imprensa)_PT'!K262</f>
        <v>1059</v>
      </c>
      <c r="L262" s="189">
        <f>[2]Base!DZ262</f>
        <v>1311</v>
      </c>
      <c r="M262" s="190">
        <f>[2]Base!AO262</f>
        <v>309714090</v>
      </c>
      <c r="N262" s="190">
        <f>[2]Base!AP262</f>
        <v>309714090</v>
      </c>
      <c r="O262" s="190">
        <f>[2]Base!AQ262</f>
        <v>619428180</v>
      </c>
      <c r="P262" s="189">
        <f>+[2]Base!ED262</f>
        <v>284141366.97247702</v>
      </c>
      <c r="Q262" s="191">
        <f>'[1]SITE (Imprensa)_PT'!P262</f>
        <v>2.6359637851800673E-2</v>
      </c>
      <c r="R262" s="157">
        <f>'[1]SITE (Imprensa)_PT'!Q262</f>
        <v>0.39001973562132741</v>
      </c>
      <c r="S262" s="157">
        <f>'[1]SITE (Imprensa)_PT'!R262</f>
        <v>0.58313740666432068</v>
      </c>
      <c r="T262" s="158">
        <f>'[1]SITE (Imprensa)_PT'!S262</f>
        <v>4.8321986255129689E-4</v>
      </c>
      <c r="U262" s="1"/>
    </row>
    <row r="263" spans="2:21" ht="13.2" x14ac:dyDescent="0.25">
      <c r="B263" s="40" t="str">
        <f>[2]Base!A263</f>
        <v>CVC BRASIL</v>
      </c>
      <c r="C263" s="41" t="str">
        <f>[2]Base!C263</f>
        <v>NM</v>
      </c>
      <c r="D263" s="213" t="s">
        <v>127</v>
      </c>
      <c r="E263" s="214" t="str">
        <f>[2]Base!M263</f>
        <v>Itaú BBA</v>
      </c>
      <c r="F263" s="170" t="str">
        <f>[2]Base!F263</f>
        <v>IPO</v>
      </c>
      <c r="G263" s="19" t="str">
        <f>[2]Base!G263</f>
        <v>ICVM 400</v>
      </c>
      <c r="H263" s="20">
        <f>[2]Base!X263</f>
        <v>41613</v>
      </c>
      <c r="I263" s="187">
        <f>[2]Base!W263</f>
        <v>16</v>
      </c>
      <c r="J263" s="188">
        <f>[2]Base!J263</f>
        <v>41617</v>
      </c>
      <c r="K263" s="189">
        <f>'[1]SITE (Imprensa)_PT'!K263</f>
        <v>2316</v>
      </c>
      <c r="L263" s="189">
        <f>[2]Base!DZ263</f>
        <v>2540</v>
      </c>
      <c r="M263" s="190">
        <f>[2]Base!AO263</f>
        <v>0</v>
      </c>
      <c r="N263" s="190">
        <f>[2]Base!AP263</f>
        <v>541465600</v>
      </c>
      <c r="O263" s="190">
        <f>[2]Base!AQ263</f>
        <v>541465600</v>
      </c>
      <c r="P263" s="189">
        <f>+[2]Base!ED263</f>
        <v>233390344.82758623</v>
      </c>
      <c r="Q263" s="191">
        <f>'[1]SITE (Imprensa)_PT'!P263</f>
        <v>8.8896541062801926E-2</v>
      </c>
      <c r="R263" s="157">
        <f>'[1]SITE (Imprensa)_PT'!Q263</f>
        <v>0.42276189371980677</v>
      </c>
      <c r="S263" s="157">
        <f>'[1]SITE (Imprensa)_PT'!R263</f>
        <v>0.48427060869565219</v>
      </c>
      <c r="T263" s="158">
        <f>'[1]SITE (Imprensa)_PT'!S263</f>
        <v>4.0709565217391308E-3</v>
      </c>
      <c r="U263" s="1"/>
    </row>
    <row r="264" spans="2:21" ht="13.8" thickBot="1" x14ac:dyDescent="0.3">
      <c r="B264" s="61" t="str">
        <f>[2]Base!A264</f>
        <v>VIAVAREJO</v>
      </c>
      <c r="C264" s="62" t="str">
        <f>[2]Base!C264</f>
        <v>N2</v>
      </c>
      <c r="D264" s="215" t="s">
        <v>120</v>
      </c>
      <c r="E264" s="215" t="str">
        <f>[2]Base!M264</f>
        <v>Credit Suisse</v>
      </c>
      <c r="F264" s="31" t="str">
        <f>[2]Base!F264</f>
        <v>FOLLOW-ON</v>
      </c>
      <c r="G264" s="62" t="str">
        <f>[2]Base!G264</f>
        <v>ICVM 400</v>
      </c>
      <c r="H264" s="63">
        <f>[2]Base!X264</f>
        <v>41620</v>
      </c>
      <c r="I264" s="64">
        <f>[2]Base!W264</f>
        <v>23</v>
      </c>
      <c r="J264" s="192">
        <f>[2]Base!J264</f>
        <v>41624</v>
      </c>
      <c r="K264" s="193">
        <f>'[1]SITE (Imprensa)_PT'!K264</f>
        <v>1431</v>
      </c>
      <c r="L264" s="193">
        <f>[2]Base!DZ264</f>
        <v>1826</v>
      </c>
      <c r="M264" s="194">
        <f>[2]Base!AO264</f>
        <v>0</v>
      </c>
      <c r="N264" s="194">
        <f>[2]Base!AP264</f>
        <v>2845030632</v>
      </c>
      <c r="O264" s="194">
        <f>[2]Base!AQ264</f>
        <v>2845030632</v>
      </c>
      <c r="P264" s="194">
        <f>+[2]Base!ED264</f>
        <v>1226306306.8965518</v>
      </c>
      <c r="Q264" s="159">
        <f>'[1]SITE (Imprensa)_PT'!P264</f>
        <v>1.0195034342955362E-2</v>
      </c>
      <c r="R264" s="159">
        <f>'[1]SITE (Imprensa)_PT'!Q264</f>
        <v>0.24096957772228303</v>
      </c>
      <c r="S264" s="159">
        <f>'[1]SITE (Imprensa)_PT'!R264</f>
        <v>0.74589074055354498</v>
      </c>
      <c r="T264" s="160">
        <f>'[1]SITE (Imprensa)_PT'!S264</f>
        <v>2.9446473812166675E-3</v>
      </c>
      <c r="U264" s="1"/>
    </row>
    <row r="265" spans="2:21" ht="13.8" thickTop="1" x14ac:dyDescent="0.25">
      <c r="B265" s="40" t="str">
        <f>[2]Base!A265</f>
        <v>OI¹</v>
      </c>
      <c r="C265" s="41" t="str">
        <f>[2]Base!C265</f>
        <v>N1</v>
      </c>
      <c r="D265" s="213" t="s">
        <v>92</v>
      </c>
      <c r="E265" s="214" t="str">
        <f>[2]Base!M265</f>
        <v>BTG Pactual</v>
      </c>
      <c r="F265" s="170" t="str">
        <f>[2]Base!F265</f>
        <v>FOLLOW-ON</v>
      </c>
      <c r="G265" s="216" t="str">
        <f>[2]Base!G265</f>
        <v>ICVM 400</v>
      </c>
      <c r="H265" s="20">
        <f>[2]Base!X265</f>
        <v>41757</v>
      </c>
      <c r="I265" s="21">
        <f>[2]Base!W265</f>
        <v>2.0566666666578493</v>
      </c>
      <c r="J265" s="217">
        <f>[2]Base!J265</f>
        <v>41759</v>
      </c>
      <c r="K265" s="218">
        <f>'[1]SITE (Imprensa)_PT'!K265</f>
        <v>3429</v>
      </c>
      <c r="L265" s="218">
        <f>[2]Base!DZ265</f>
        <v>4369</v>
      </c>
      <c r="M265" s="219">
        <f>[2]Base!AO265</f>
        <v>13959899998.896816</v>
      </c>
      <c r="N265" s="219">
        <f>[2]Base!AP265</f>
        <v>0</v>
      </c>
      <c r="O265" s="219">
        <f>[2]Base!AQ265</f>
        <v>13959899998.896816</v>
      </c>
      <c r="P265" s="220">
        <f>+[2]Base!ED265</f>
        <v>6243246868.9162855</v>
      </c>
      <c r="Q265" s="157">
        <f>'[1]SITE (Imprensa)_PT'!P265</f>
        <v>5.4232472710400203E-3</v>
      </c>
      <c r="R265" s="157">
        <f>'[1]SITE (Imprensa)_PT'!Q265</f>
        <v>0.11538216414518598</v>
      </c>
      <c r="S265" s="157">
        <f>'[1]SITE (Imprensa)_PT'!R265</f>
        <v>0.41461573676835661</v>
      </c>
      <c r="T265" s="158">
        <f>'[1]SITE (Imprensa)_PT'!S265</f>
        <v>0.4645788518154173</v>
      </c>
      <c r="U265" s="1"/>
    </row>
    <row r="266" spans="2:21" ht="13.8" thickBot="1" x14ac:dyDescent="0.3">
      <c r="B266" s="61" t="str">
        <f>[2]Base!A266</f>
        <v>OUROFINO S/A</v>
      </c>
      <c r="C266" s="62" t="str">
        <f>[2]Base!C266</f>
        <v>NM</v>
      </c>
      <c r="D266" s="215" t="s">
        <v>128</v>
      </c>
      <c r="E266" s="215" t="str">
        <f>[2]Base!M266</f>
        <v>JP Morgan</v>
      </c>
      <c r="F266" s="31" t="str">
        <f>[2]Base!F266</f>
        <v>IPO</v>
      </c>
      <c r="G266" s="221" t="str">
        <f>[2]Base!G266</f>
        <v>ICVM 400</v>
      </c>
      <c r="H266" s="63">
        <f>[2]Base!X266</f>
        <v>41929</v>
      </c>
      <c r="I266" s="64">
        <f>[2]Base!W266</f>
        <v>27</v>
      </c>
      <c r="J266" s="192">
        <f>[2]Base!J266</f>
        <v>41933</v>
      </c>
      <c r="K266" s="193">
        <f>'[1]SITE (Imprensa)_PT'!K266</f>
        <v>2570</v>
      </c>
      <c r="L266" s="193">
        <f>[2]Base!DZ266</f>
        <v>2922</v>
      </c>
      <c r="M266" s="194">
        <f>[2]Base!AO266</f>
        <v>106442289</v>
      </c>
      <c r="N266" s="194">
        <f>[2]Base!AP266</f>
        <v>311538474</v>
      </c>
      <c r="O266" s="194">
        <f>[2]Base!AQ266</f>
        <v>417980763</v>
      </c>
      <c r="P266" s="194">
        <f>+[2]Base!ED266</f>
        <v>168561020.68798646</v>
      </c>
      <c r="Q266" s="159">
        <f>'[1]SITE (Imprensa)_PT'!P266</f>
        <v>9.5657651115393552E-2</v>
      </c>
      <c r="R266" s="159">
        <f>'[1]SITE (Imprensa)_PT'!Q266</f>
        <v>0.2196801076225606</v>
      </c>
      <c r="S266" s="159">
        <f>'[1]SITE (Imprensa)_PT'!R266</f>
        <v>0.20086037069605522</v>
      </c>
      <c r="T266" s="160">
        <f>'[1]SITE (Imprensa)_PT'!S266</f>
        <v>0.48380187056599061</v>
      </c>
      <c r="U266" s="1"/>
    </row>
    <row r="267" spans="2:21" ht="13.8" thickTop="1" x14ac:dyDescent="0.25">
      <c r="B267" s="222" t="str">
        <f>[2]Base!A267</f>
        <v>TELEF BRASIL¹</v>
      </c>
      <c r="C267" s="213" t="str">
        <f>[2]Base!C267</f>
        <v>BÁSICO</v>
      </c>
      <c r="D267" s="223" t="s">
        <v>92</v>
      </c>
      <c r="E267" s="224" t="str">
        <f>[2]Base!M267</f>
        <v>Itaú BBA</v>
      </c>
      <c r="F267" s="225" t="str">
        <f>[2]Base!F267</f>
        <v>FOLLOW-ON</v>
      </c>
      <c r="G267" s="225" t="str">
        <f>[2]Base!G267</f>
        <v>ICVM 400</v>
      </c>
      <c r="H267" s="90">
        <f>[2]Base!X267</f>
        <v>42121</v>
      </c>
      <c r="I267" s="226">
        <f>[2]Base!W267</f>
        <v>44.154045980711359</v>
      </c>
      <c r="J267" s="227">
        <f>[2]Base!J267</f>
        <v>42123</v>
      </c>
      <c r="K267" s="228">
        <f>'[1]SITE (Imprensa)_PT'!K267</f>
        <v>956</v>
      </c>
      <c r="L267" s="208">
        <f>[2]Base!DZ267</f>
        <v>1850</v>
      </c>
      <c r="M267" s="186">
        <f>[2]Base!AO267</f>
        <v>16107285058.799999</v>
      </c>
      <c r="N267" s="186">
        <f>[2]Base!AP267</f>
        <v>0</v>
      </c>
      <c r="O267" s="186">
        <f>[2]Base!AQ267</f>
        <v>16107285058.799999</v>
      </c>
      <c r="P267" s="229">
        <f>+[2]Base!ED267</f>
        <v>5483331083.8468084</v>
      </c>
      <c r="Q267" s="230">
        <f>'[1]SITE (Imprensa)_PT'!P267</f>
        <v>3.3610785170340197E-3</v>
      </c>
      <c r="R267" s="231">
        <f>'[1]SITE (Imprensa)_PT'!Q267</f>
        <v>7.7287472987341191E-2</v>
      </c>
      <c r="S267" s="231">
        <f>'[1]SITE (Imprensa)_PT'!R267</f>
        <v>0.69706897761544506</v>
      </c>
      <c r="T267" s="232">
        <f>'[1]SITE (Imprensa)_PT'!S267</f>
        <v>0.22228247086776307</v>
      </c>
      <c r="U267" s="1"/>
    </row>
    <row r="268" spans="2:21" ht="13.2" x14ac:dyDescent="0.25">
      <c r="B268" s="40" t="str">
        <f>[2]Base!A268</f>
        <v>PARCORRETORA</v>
      </c>
      <c r="C268" s="41" t="str">
        <f>[2]Base!C268</f>
        <v>NM</v>
      </c>
      <c r="D268" s="213" t="s">
        <v>64</v>
      </c>
      <c r="E268" s="214" t="str">
        <f>[2]Base!M268</f>
        <v>Bradesco BBI</v>
      </c>
      <c r="F268" s="170" t="str">
        <f>[2]Base!F268</f>
        <v>IPO</v>
      </c>
      <c r="G268" s="2" t="str">
        <f>[2]Base!G268</f>
        <v>ICVM 400</v>
      </c>
      <c r="H268" s="20">
        <f>[2]Base!X268</f>
        <v>42157</v>
      </c>
      <c r="I268" s="187">
        <f>[2]Base!W268</f>
        <v>12.33</v>
      </c>
      <c r="J268" s="188">
        <f>[2]Base!J268</f>
        <v>42160</v>
      </c>
      <c r="K268" s="189">
        <f>'[1]SITE (Imprensa)_PT'!K268</f>
        <v>3693</v>
      </c>
      <c r="L268" s="189">
        <f>[2]Base!DZ268</f>
        <v>4527</v>
      </c>
      <c r="M268" s="190">
        <f>[2]Base!AO268</f>
        <v>0</v>
      </c>
      <c r="N268" s="190">
        <f>[2]Base!AP268</f>
        <v>602800013.70000005</v>
      </c>
      <c r="O268" s="190">
        <f>[2]Base!AQ268</f>
        <v>602800013.70000005</v>
      </c>
      <c r="P268" s="189">
        <f>+[2]Base!ED268</f>
        <v>190253760.16285825</v>
      </c>
      <c r="Q268" s="191">
        <f>'[1]SITE (Imprensa)_PT'!P268</f>
        <v>9.8221415949513266E-2</v>
      </c>
      <c r="R268" s="157">
        <f>'[1]SITE (Imprensa)_PT'!Q268</f>
        <v>0.37409806195231671</v>
      </c>
      <c r="S268" s="157">
        <f>'[1]SITE (Imprensa)_PT'!R268</f>
        <v>0.52148093360270609</v>
      </c>
      <c r="T268" s="158">
        <f>'[1]SITE (Imprensa)_PT'!S268</f>
        <v>6.199588495463898E-3</v>
      </c>
      <c r="U268" s="1"/>
    </row>
    <row r="269" spans="2:21" ht="13.2" x14ac:dyDescent="0.25">
      <c r="B269" s="40" t="str">
        <f>[2]Base!A269</f>
        <v>VALID</v>
      </c>
      <c r="C269" s="41" t="str">
        <f>[2]Base!C269</f>
        <v>NM</v>
      </c>
      <c r="D269" s="213" t="s">
        <v>81</v>
      </c>
      <c r="E269" s="213" t="str">
        <f>[2]Base!M269</f>
        <v>Itaú BBA</v>
      </c>
      <c r="F269" s="19" t="str">
        <f>[2]Base!F269</f>
        <v>FOLLOW-ON</v>
      </c>
      <c r="G269" s="19" t="str">
        <f>[2]Base!G269</f>
        <v>ICVM 476</v>
      </c>
      <c r="H269" s="20">
        <f>[2]Base!X269</f>
        <v>42269</v>
      </c>
      <c r="I269" s="187">
        <f>[2]Base!W269</f>
        <v>44</v>
      </c>
      <c r="J269" s="188">
        <f>[2]Base!J269</f>
        <v>42270</v>
      </c>
      <c r="K269" s="189">
        <f>'[1]SITE (Imprensa)_PT'!K269</f>
        <v>42</v>
      </c>
      <c r="L269" s="189">
        <f>[2]Base!DZ269</f>
        <v>449</v>
      </c>
      <c r="M269" s="190">
        <f>[2]Base!AO269</f>
        <v>396000000</v>
      </c>
      <c r="N269" s="190">
        <f>[2]Base!AP269</f>
        <v>0</v>
      </c>
      <c r="O269" s="190">
        <f>[2]Base!AQ269</f>
        <v>396000000</v>
      </c>
      <c r="P269" s="189">
        <f>+[2]Base!ED269</f>
        <v>96488876.976681858</v>
      </c>
      <c r="Q269" s="191">
        <f>'[1]SITE (Imprensa)_PT'!P269</f>
        <v>6.2837777777777779E-3</v>
      </c>
      <c r="R269" s="157">
        <f>'[1]SITE (Imprensa)_PT'!Q269</f>
        <v>0.28428466666666669</v>
      </c>
      <c r="S269" s="157">
        <f>'[1]SITE (Imprensa)_PT'!R269</f>
        <v>0.70496933333333334</v>
      </c>
      <c r="T269" s="158">
        <f>'[1]SITE (Imprensa)_PT'!S269</f>
        <v>4.4622222222222225E-3</v>
      </c>
      <c r="U269" s="1"/>
    </row>
    <row r="270" spans="2:21" ht="13.2" x14ac:dyDescent="0.25">
      <c r="B270" s="40" t="str">
        <f>[2]Base!A270</f>
        <v>GENERALSHOPP</v>
      </c>
      <c r="C270" s="41" t="str">
        <f>[2]Base!C270</f>
        <v>NM</v>
      </c>
      <c r="D270" s="213" t="s">
        <v>82</v>
      </c>
      <c r="E270" s="213" t="str">
        <f>[2]Base!M270</f>
        <v>Santander</v>
      </c>
      <c r="F270" s="19" t="str">
        <f>[2]Base!F270</f>
        <v>FOLLOW-ON</v>
      </c>
      <c r="G270" s="19" t="str">
        <f>[2]Base!G270</f>
        <v>ICVM 476</v>
      </c>
      <c r="H270" s="20">
        <f>[2]Base!X270</f>
        <v>42261</v>
      </c>
      <c r="I270" s="187">
        <f>[2]Base!W270</f>
        <v>3.99</v>
      </c>
      <c r="J270" s="188">
        <f>[2]Base!J270</f>
        <v>42278</v>
      </c>
      <c r="K270" s="189">
        <f>'[1]SITE (Imprensa)_PT'!K270</f>
        <v>0</v>
      </c>
      <c r="L270" s="189">
        <f>[2]Base!DZ270</f>
        <v>1</v>
      </c>
      <c r="M270" s="190">
        <f>[2]Base!AO270</f>
        <v>57932406</v>
      </c>
      <c r="N270" s="190">
        <f>[2]Base!AP270</f>
        <v>0</v>
      </c>
      <c r="O270" s="190">
        <f>[2]Base!AQ270</f>
        <v>57932406</v>
      </c>
      <c r="P270" s="189">
        <f>+[2]Base!ED270</f>
        <v>14558075.589284817</v>
      </c>
      <c r="Q270" s="191">
        <f>'[1]SITE (Imprensa)_PT'!P270</f>
        <v>0</v>
      </c>
      <c r="R270" s="157">
        <f>'[1]SITE (Imprensa)_PT'!Q270</f>
        <v>0</v>
      </c>
      <c r="S270" s="157">
        <f>'[1]SITE (Imprensa)_PT'!R270</f>
        <v>0</v>
      </c>
      <c r="T270" s="158">
        <f>'[1]SITE (Imprensa)_PT'!S270</f>
        <v>1</v>
      </c>
      <c r="U270" s="1"/>
    </row>
    <row r="271" spans="2:21" ht="13.8" thickBot="1" x14ac:dyDescent="0.3">
      <c r="B271" s="61" t="str">
        <f>[2]Base!A271</f>
        <v>GERDAU MET</v>
      </c>
      <c r="C271" s="100" t="str">
        <f>[2]Base!C271</f>
        <v>N1</v>
      </c>
      <c r="D271" s="233" t="s">
        <v>65</v>
      </c>
      <c r="E271" s="234" t="str">
        <f>[2]Base!M271</f>
        <v>BTG Pactual</v>
      </c>
      <c r="F271" s="62" t="str">
        <f>[2]Base!F271</f>
        <v>FOLLOW-ON</v>
      </c>
      <c r="G271" s="62" t="str">
        <f>[2]Base!G271</f>
        <v>ICVM 476</v>
      </c>
      <c r="H271" s="63">
        <f>[2]Base!X271</f>
        <v>42325</v>
      </c>
      <c r="I271" s="101">
        <f>[2]Base!W271</f>
        <v>1.8</v>
      </c>
      <c r="J271" s="235">
        <f>[2]Base!J271</f>
        <v>42327</v>
      </c>
      <c r="K271" s="193">
        <f>'[1]SITE (Imprensa)_PT'!K271</f>
        <v>225</v>
      </c>
      <c r="L271" s="193">
        <f>[2]Base!DZ271</f>
        <v>558</v>
      </c>
      <c r="M271" s="194">
        <f>[2]Base!AO271</f>
        <v>900000000</v>
      </c>
      <c r="N271" s="194">
        <f>[2]Base!AP271</f>
        <v>0</v>
      </c>
      <c r="O271" s="194">
        <f>[2]Base!AQ271</f>
        <v>900000000</v>
      </c>
      <c r="P271" s="194">
        <f>+[2]Base!ED271</f>
        <v>240371775.01201856</v>
      </c>
      <c r="Q271" s="236">
        <f>'[1]SITE (Imprensa)_PT'!P271</f>
        <v>3.6634559999999997E-2</v>
      </c>
      <c r="R271" s="237">
        <f>'[1]SITE (Imprensa)_PT'!Q271</f>
        <v>0.35301729200000004</v>
      </c>
      <c r="S271" s="237">
        <f>'[1]SITE (Imprensa)_PT'!R271</f>
        <v>0.25018665000000001</v>
      </c>
      <c r="T271" s="238">
        <f>'[1]SITE (Imprensa)_PT'!S271</f>
        <v>0.36016149799999997</v>
      </c>
      <c r="U271" s="1"/>
    </row>
    <row r="272" spans="2:21" ht="13.8" thickTop="1" x14ac:dyDescent="0.25">
      <c r="B272" s="178" t="str">
        <f>[2]Base!A272</f>
        <v>BR PHARMA</v>
      </c>
      <c r="C272" s="103" t="str">
        <f>[2]Base!C272</f>
        <v>NM</v>
      </c>
      <c r="D272" s="239" t="s">
        <v>98</v>
      </c>
      <c r="E272" s="224" t="str">
        <f>[2]Base!M272</f>
        <v>BTG Pactual</v>
      </c>
      <c r="F272" s="74" t="str">
        <f>[2]Base!F272</f>
        <v>FOLLOW-ON</v>
      </c>
      <c r="G272" s="74" t="str">
        <f>[2]Base!G272</f>
        <v>ICVM 476</v>
      </c>
      <c r="H272" s="75">
        <f>[2]Base!X272</f>
        <v>42388</v>
      </c>
      <c r="I272" s="104">
        <f>[2]Base!W272</f>
        <v>3.78</v>
      </c>
      <c r="J272" s="240">
        <f>[2]Base!J272</f>
        <v>42402</v>
      </c>
      <c r="K272" s="241">
        <f>'[1]SITE (Imprensa)_PT'!K272</f>
        <v>0</v>
      </c>
      <c r="L272" s="241">
        <f>[2]Base!DZ272</f>
        <v>1</v>
      </c>
      <c r="M272" s="186">
        <f>[2]Base!AO272</f>
        <v>400000000.68000001</v>
      </c>
      <c r="N272" s="201">
        <f>[2]Base!AP272</f>
        <v>0</v>
      </c>
      <c r="O272" s="201">
        <f>[2]Base!AQ272</f>
        <v>400000000.68000001</v>
      </c>
      <c r="P272" s="201">
        <f>+[2]Base!ED272</f>
        <v>100250626.7368421</v>
      </c>
      <c r="Q272" s="231">
        <f>'[1]SITE (Imprensa)_PT'!P272</f>
        <v>0</v>
      </c>
      <c r="R272" s="242">
        <f>'[1]SITE (Imprensa)_PT'!Q272</f>
        <v>0</v>
      </c>
      <c r="S272" s="231">
        <f>'[1]SITE (Imprensa)_PT'!R272</f>
        <v>0</v>
      </c>
      <c r="T272" s="232">
        <f>'[1]SITE (Imprensa)_PT'!S272</f>
        <v>1</v>
      </c>
      <c r="U272" s="1"/>
    </row>
    <row r="273" spans="2:21" ht="13.2" x14ac:dyDescent="0.25">
      <c r="B273" s="243" t="str">
        <f>[2]Base!A273</f>
        <v>MERC INVEST</v>
      </c>
      <c r="C273" s="244" t="str">
        <f>[2]Base!C273</f>
        <v>BÁSICO</v>
      </c>
      <c r="D273" s="213" t="s">
        <v>67</v>
      </c>
      <c r="E273" s="213" t="str">
        <f>[2]Base!M273</f>
        <v>Banco Votorantim</v>
      </c>
      <c r="F273" s="19" t="str">
        <f>[2]Base!F273</f>
        <v>FOLLOW-ON</v>
      </c>
      <c r="G273" s="19" t="str">
        <f>[2]Base!G273</f>
        <v>ICVM 476</v>
      </c>
      <c r="H273" s="20">
        <f>[2]Base!X273</f>
        <v>42439</v>
      </c>
      <c r="I273" s="187">
        <f>[2]Base!W273</f>
        <v>0.33</v>
      </c>
      <c r="J273" s="188">
        <f>[2]Base!J273</f>
        <v>42440</v>
      </c>
      <c r="K273" s="189">
        <f>'[1]SITE (Imprensa)_PT'!K273</f>
        <v>0</v>
      </c>
      <c r="L273" s="189">
        <f>[2]Base!DZ273</f>
        <v>5</v>
      </c>
      <c r="M273" s="190">
        <f>[2]Base!AO273</f>
        <v>190474337.46000001</v>
      </c>
      <c r="N273" s="190">
        <f>[2]Base!AP273</f>
        <v>0</v>
      </c>
      <c r="O273" s="190">
        <f>[2]Base!AQ273</f>
        <v>190474337.46000001</v>
      </c>
      <c r="P273" s="189">
        <f>+[2]Base!ED273</f>
        <v>52514222.784042351</v>
      </c>
      <c r="Q273" s="191">
        <f>'[1]SITE (Imprensa)_PT'!P273</f>
        <v>0</v>
      </c>
      <c r="R273" s="157">
        <f>'[1]SITE (Imprensa)_PT'!Q273</f>
        <v>0</v>
      </c>
      <c r="S273" s="157">
        <f>'[1]SITE (Imprensa)_PT'!R273</f>
        <v>0</v>
      </c>
      <c r="T273" s="158">
        <f>'[1]SITE (Imprensa)_PT'!S273</f>
        <v>1</v>
      </c>
      <c r="U273" s="1"/>
    </row>
    <row r="274" spans="2:21" ht="13.2" x14ac:dyDescent="0.25">
      <c r="B274" s="40" t="str">
        <f>[2]Base!A274</f>
        <v>RUMO LOG</v>
      </c>
      <c r="C274" s="41" t="str">
        <f>[2]Base!C274</f>
        <v>NM</v>
      </c>
      <c r="D274" s="213" t="s">
        <v>129</v>
      </c>
      <c r="E274" s="213" t="str">
        <f>[2]Base!M274</f>
        <v>Santander</v>
      </c>
      <c r="F274" s="19" t="str">
        <f>[2]Base!F274</f>
        <v>FOLLOW-ON</v>
      </c>
      <c r="G274" s="19" t="str">
        <f>[2]Base!G274</f>
        <v>ICVM 476</v>
      </c>
      <c r="H274" s="20">
        <f>[2]Base!X274</f>
        <v>42467</v>
      </c>
      <c r="I274" s="187">
        <f>[2]Base!W274</f>
        <v>2.5</v>
      </c>
      <c r="J274" s="188">
        <f>[2]Base!J274</f>
        <v>42468</v>
      </c>
      <c r="K274" s="189">
        <f>'[1]SITE (Imprensa)_PT'!K274</f>
        <v>30</v>
      </c>
      <c r="L274" s="189">
        <f>[2]Base!DZ274</f>
        <v>407</v>
      </c>
      <c r="M274" s="190">
        <f>[2]Base!AO274</f>
        <v>2600000000</v>
      </c>
      <c r="N274" s="190">
        <f>[2]Base!AP274</f>
        <v>0</v>
      </c>
      <c r="O274" s="190">
        <f>[2]Base!AQ274</f>
        <v>2600000000</v>
      </c>
      <c r="P274" s="189">
        <f>+[2]Base!ED274</f>
        <v>714580184.14181662</v>
      </c>
      <c r="Q274" s="191">
        <f>'[1]SITE (Imprensa)_PT'!P274</f>
        <v>1.8656894230769231E-3</v>
      </c>
      <c r="R274" s="157">
        <f>'[1]SITE (Imprensa)_PT'!Q274</f>
        <v>0.11569919423076923</v>
      </c>
      <c r="S274" s="157">
        <f>'[1]SITE (Imprensa)_PT'!R274</f>
        <v>0.47579280961538462</v>
      </c>
      <c r="T274" s="158">
        <f>'[1]SITE (Imprensa)_PT'!S274</f>
        <v>0.40664230673076923</v>
      </c>
      <c r="U274" s="1"/>
    </row>
    <row r="275" spans="2:21" ht="13.2" x14ac:dyDescent="0.25">
      <c r="B275" s="40" t="str">
        <f>[2]Base!A275</f>
        <v>FRAS-LE</v>
      </c>
      <c r="C275" s="41" t="str">
        <f>[2]Base!C275</f>
        <v>N1</v>
      </c>
      <c r="D275" s="213" t="s">
        <v>130</v>
      </c>
      <c r="E275" s="213" t="str">
        <f>[2]Base!M275</f>
        <v>Santander</v>
      </c>
      <c r="F275" s="19" t="str">
        <f>[2]Base!F275</f>
        <v>FOLLOW-ON</v>
      </c>
      <c r="G275" s="19" t="str">
        <f>[2]Base!G275</f>
        <v>ICVM 476</v>
      </c>
      <c r="H275" s="20">
        <f>[2]Base!X275</f>
        <v>42468</v>
      </c>
      <c r="I275" s="187">
        <f>[2]Base!W275</f>
        <v>3.24</v>
      </c>
      <c r="J275" s="188">
        <f>[2]Base!J275</f>
        <v>42485</v>
      </c>
      <c r="K275" s="189">
        <f>'[1]SITE (Imprensa)_PT'!K275</f>
        <v>15</v>
      </c>
      <c r="L275" s="189">
        <f>[2]Base!DZ275</f>
        <v>60</v>
      </c>
      <c r="M275" s="190">
        <f>[2]Base!AO275</f>
        <v>300000001.31999999</v>
      </c>
      <c r="N275" s="190">
        <f>[2]Base!AP275</f>
        <v>0</v>
      </c>
      <c r="O275" s="190">
        <f>[2]Base!AQ275</f>
        <v>300000001.31999999</v>
      </c>
      <c r="P275" s="189">
        <f>+[2]Base!ED275</f>
        <v>84573748.680649519</v>
      </c>
      <c r="Q275" s="191">
        <f>'[1]SITE (Imprensa)_PT'!P275</f>
        <v>1.586929313017511E-2</v>
      </c>
      <c r="R275" s="157">
        <f>'[1]SITE (Imprensa)_PT'!Q275</f>
        <v>0.41657050256708983</v>
      </c>
      <c r="S275" s="157">
        <f>'[1]SITE (Imprensa)_PT'!R275</f>
        <v>3.4478125048296254E-2</v>
      </c>
      <c r="T275" s="158">
        <f>'[1]SITE (Imprensa)_PT'!S275</f>
        <v>0.53308207925443896</v>
      </c>
      <c r="U275" s="1"/>
    </row>
    <row r="276" spans="2:21" ht="13.2" x14ac:dyDescent="0.25">
      <c r="B276" s="40" t="str">
        <f>[2]Base!A276</f>
        <v>ENERGISA</v>
      </c>
      <c r="C276" s="41" t="str">
        <f>[2]Base!C276</f>
        <v>N2</v>
      </c>
      <c r="D276" s="213" t="s">
        <v>126</v>
      </c>
      <c r="E276" s="213" t="str">
        <f>[2]Base!M276</f>
        <v>Citi</v>
      </c>
      <c r="F276" s="19" t="str">
        <f>[2]Base!F276</f>
        <v>FOLLOW-ON</v>
      </c>
      <c r="G276" s="19" t="str">
        <f>[2]Base!G276</f>
        <v>ICVM 400</v>
      </c>
      <c r="H276" s="20">
        <f>[2]Base!X276</f>
        <v>42578</v>
      </c>
      <c r="I276" s="187">
        <f>[2]Base!W276</f>
        <v>18.5</v>
      </c>
      <c r="J276" s="188">
        <f>[2]Base!J276</f>
        <v>42579</v>
      </c>
      <c r="K276" s="189">
        <f>'[1]SITE (Imprensa)_PT'!K276</f>
        <v>1824</v>
      </c>
      <c r="L276" s="189">
        <f>[2]Base!DZ276</f>
        <v>2560</v>
      </c>
      <c r="M276" s="190">
        <f>[2]Base!AO276</f>
        <v>1535962500</v>
      </c>
      <c r="N276" s="190">
        <f>[2]Base!AP276</f>
        <v>0</v>
      </c>
      <c r="O276" s="190">
        <f>[2]Base!AQ276</f>
        <v>1535962500</v>
      </c>
      <c r="P276" s="189">
        <f>+[2]Base!ED276</f>
        <v>469139431.88759929</v>
      </c>
      <c r="Q276" s="191">
        <f>'[1]SITE (Imprensa)_PT'!P276</f>
        <v>9.5627353206865398E-2</v>
      </c>
      <c r="R276" s="157">
        <f>'[1]SITE (Imprensa)_PT'!Q276</f>
        <v>0.35195844625112915</v>
      </c>
      <c r="S276" s="157">
        <f>'[1]SITE (Imprensa)_PT'!R276</f>
        <v>0.54001554953327313</v>
      </c>
      <c r="T276" s="158">
        <f>'[1]SITE (Imprensa)_PT'!S276</f>
        <v>1.239865100873231E-2</v>
      </c>
      <c r="U276" s="1"/>
    </row>
    <row r="277" spans="2:21" ht="13.2" x14ac:dyDescent="0.25">
      <c r="B277" s="40" t="str">
        <f>[2]Base!A277</f>
        <v>CVC BRASIL</v>
      </c>
      <c r="C277" s="41" t="str">
        <f>[2]Base!C277</f>
        <v>NM</v>
      </c>
      <c r="D277" s="213" t="s">
        <v>127</v>
      </c>
      <c r="E277" s="213" t="str">
        <f>[2]Base!M277</f>
        <v>BofA Merrill Lynch</v>
      </c>
      <c r="F277" s="19" t="str">
        <f>[2]Base!F277</f>
        <v>FOLLOW-ON</v>
      </c>
      <c r="G277" s="19" t="str">
        <f>[2]Base!G277</f>
        <v>ICVM 476</v>
      </c>
      <c r="H277" s="20">
        <f>[2]Base!X277</f>
        <v>42592</v>
      </c>
      <c r="I277" s="187">
        <f>[2]Base!W277</f>
        <v>20.5</v>
      </c>
      <c r="J277" s="188">
        <f>[2]Base!J277</f>
        <v>42598</v>
      </c>
      <c r="K277" s="189">
        <f>'[1]SITE (Imprensa)_PT'!K277</f>
        <v>2</v>
      </c>
      <c r="L277" s="189">
        <f>[2]Base!DZ277</f>
        <v>714</v>
      </c>
      <c r="M277" s="190">
        <f>[2]Base!AO277</f>
        <v>0</v>
      </c>
      <c r="N277" s="190">
        <f>[2]Base!AP277</f>
        <v>1230000000</v>
      </c>
      <c r="O277" s="190">
        <f>[2]Base!AQ277</f>
        <v>1230000000</v>
      </c>
      <c r="P277" s="189">
        <f>+[2]Base!ED277</f>
        <v>387413776.81186807</v>
      </c>
      <c r="Q277" s="191">
        <f>'[1]SITE (Imprensa)_PT'!P277</f>
        <v>3.7484999999999998E-4</v>
      </c>
      <c r="R277" s="157">
        <f>'[1]SITE (Imprensa)_PT'!Q277</f>
        <v>0.33542768333333334</v>
      </c>
      <c r="S277" s="157">
        <f>'[1]SITE (Imprensa)_PT'!R277</f>
        <v>0.65378511666666672</v>
      </c>
      <c r="T277" s="158">
        <f>'[1]SITE (Imprensa)_PT'!S277</f>
        <v>1.0412350000000001E-2</v>
      </c>
      <c r="U277" s="1"/>
    </row>
    <row r="278" spans="2:21" ht="13.2" x14ac:dyDescent="0.25">
      <c r="B278" s="40" t="str">
        <f>[2]Base!A278</f>
        <v>LINX</v>
      </c>
      <c r="C278" s="41" t="str">
        <f>[2]Base!C278</f>
        <v>NM</v>
      </c>
      <c r="D278" s="213" t="s">
        <v>78</v>
      </c>
      <c r="E278" s="213" t="str">
        <f>[2]Base!M278</f>
        <v>BTG Pactual</v>
      </c>
      <c r="F278" s="19" t="str">
        <f>[2]Base!F278</f>
        <v>FOLLOW-ON</v>
      </c>
      <c r="G278" s="19" t="str">
        <f>[2]Base!G278</f>
        <v>ICVM 476</v>
      </c>
      <c r="H278" s="20">
        <f>[2]Base!X278</f>
        <v>42639</v>
      </c>
      <c r="I278" s="187">
        <f>[2]Base!W278</f>
        <v>18.5</v>
      </c>
      <c r="J278" s="188">
        <f>[2]Base!J278</f>
        <v>42641</v>
      </c>
      <c r="K278" s="189">
        <f>'[1]SITE (Imprensa)_PT'!K278</f>
        <v>1</v>
      </c>
      <c r="L278" s="189">
        <f>[2]Base!DZ278</f>
        <v>342</v>
      </c>
      <c r="M278" s="190">
        <f>[2]Base!AO278</f>
        <v>444000000</v>
      </c>
      <c r="N278" s="190">
        <f>[2]Base!AP278</f>
        <v>0</v>
      </c>
      <c r="O278" s="190">
        <f>[2]Base!AQ278</f>
        <v>444000000</v>
      </c>
      <c r="P278" s="189">
        <f>+[2]Base!ED278</f>
        <v>136716344.37738639</v>
      </c>
      <c r="Q278" s="191">
        <f>'[1]SITE (Imprensa)_PT'!P278</f>
        <v>1.2152916666666666E-3</v>
      </c>
      <c r="R278" s="157">
        <f>'[1]SITE (Imprensa)_PT'!Q278</f>
        <v>0.28609258333333332</v>
      </c>
      <c r="S278" s="157">
        <f>'[1]SITE (Imprensa)_PT'!R278</f>
        <v>0.70998950000000005</v>
      </c>
      <c r="T278" s="158">
        <f>'[1]SITE (Imprensa)_PT'!S278</f>
        <v>2.7026250000000002E-3</v>
      </c>
      <c r="U278" s="1"/>
    </row>
    <row r="279" spans="2:21" ht="13.2" x14ac:dyDescent="0.25">
      <c r="B279" s="40" t="str">
        <f>[2]Base!A279</f>
        <v>TAESA</v>
      </c>
      <c r="C279" s="41" t="str">
        <f>[2]Base!C279</f>
        <v>N2</v>
      </c>
      <c r="D279" s="19" t="s">
        <v>60</v>
      </c>
      <c r="E279" s="19" t="str">
        <f>[2]Base!M279</f>
        <v>BofA Merrill Lynch</v>
      </c>
      <c r="F279" s="19" t="str">
        <f>[2]Base!F279</f>
        <v>FOLLOW-ON</v>
      </c>
      <c r="G279" s="19" t="str">
        <f>[2]Base!G279</f>
        <v>ICVM 476</v>
      </c>
      <c r="H279" s="20">
        <f>[2]Base!X279</f>
        <v>42661</v>
      </c>
      <c r="I279" s="187">
        <f>[2]Base!W279</f>
        <v>19.649999999999999</v>
      </c>
      <c r="J279" s="188">
        <f>[2]Base!J279</f>
        <v>42667</v>
      </c>
      <c r="K279" s="189">
        <f>'[1]SITE (Imprensa)_PT'!K279</f>
        <v>0</v>
      </c>
      <c r="L279" s="189">
        <f>[2]Base!DZ279</f>
        <v>684</v>
      </c>
      <c r="M279" s="190">
        <f>[2]Base!AO279</f>
        <v>0</v>
      </c>
      <c r="N279" s="190">
        <f>[2]Base!AP279</f>
        <v>1291048819.5</v>
      </c>
      <c r="O279" s="190">
        <f>[2]Base!AQ279</f>
        <v>1291048819.5</v>
      </c>
      <c r="P279" s="189">
        <f>+[2]Base!ED279</f>
        <v>412330752.6109035</v>
      </c>
      <c r="Q279" s="191">
        <f>'[1]SITE (Imprensa)_PT'!P279</f>
        <v>0</v>
      </c>
      <c r="R279" s="157">
        <f>'[1]SITE (Imprensa)_PT'!Q279</f>
        <v>0.31579354308065344</v>
      </c>
      <c r="S279" s="157">
        <f>'[1]SITE (Imprensa)_PT'!R279</f>
        <v>0.68420645691934645</v>
      </c>
      <c r="T279" s="158">
        <f>'[1]SITE (Imprensa)_PT'!S279</f>
        <v>0</v>
      </c>
      <c r="U279" s="1"/>
    </row>
    <row r="280" spans="2:21" ht="13.2" x14ac:dyDescent="0.25">
      <c r="B280" s="40" t="str">
        <f>[2]Base!A280</f>
        <v>ALLIAR</v>
      </c>
      <c r="C280" s="41" t="str">
        <f>[2]Base!C280</f>
        <v>NM</v>
      </c>
      <c r="D280" s="213" t="s">
        <v>131</v>
      </c>
      <c r="E280" s="213" t="str">
        <f>[2]Base!M280</f>
        <v>Itaú BBA</v>
      </c>
      <c r="F280" s="19" t="str">
        <f>[2]Base!F280</f>
        <v>IPO</v>
      </c>
      <c r="G280" s="19" t="str">
        <f>[2]Base!G280</f>
        <v>ICVM 400</v>
      </c>
      <c r="H280" s="20">
        <f>[2]Base!X280</f>
        <v>42669</v>
      </c>
      <c r="I280" s="187">
        <f>[2]Base!W280</f>
        <v>20</v>
      </c>
      <c r="J280" s="188">
        <f>[2]Base!J280</f>
        <v>42671</v>
      </c>
      <c r="K280" s="189">
        <f>'[1]SITE (Imprensa)_PT'!K280</f>
        <v>1771</v>
      </c>
      <c r="L280" s="189">
        <f>[2]Base!DZ280</f>
        <v>2035</v>
      </c>
      <c r="M280" s="190">
        <f>[2]Base!AO280</f>
        <v>279069780</v>
      </c>
      <c r="N280" s="190">
        <f>[2]Base!AP280</f>
        <v>395127820</v>
      </c>
      <c r="O280" s="190">
        <f>[2]Base!AQ280</f>
        <v>674197600</v>
      </c>
      <c r="P280" s="189">
        <f>+[2]Base!ED280</f>
        <v>211911865.47226149</v>
      </c>
      <c r="Q280" s="191">
        <f>'[1]SITE (Imprensa)_PT'!P280</f>
        <v>9.3510308032546618E-2</v>
      </c>
      <c r="R280" s="157">
        <f>'[1]SITE (Imprensa)_PT'!Q280</f>
        <v>0.36966820649579085</v>
      </c>
      <c r="S280" s="157">
        <f>'[1]SITE (Imprensa)_PT'!R280</f>
        <v>0.53033030857484598</v>
      </c>
      <c r="T280" s="158">
        <f>'[1]SITE (Imprensa)_PT'!S280</f>
        <v>6.4911768968165381E-3</v>
      </c>
      <c r="U280" s="1"/>
    </row>
    <row r="281" spans="2:21" ht="13.8" thickBot="1" x14ac:dyDescent="0.3">
      <c r="B281" s="61" t="str">
        <f>[2]Base!A281</f>
        <v>SANEPAR</v>
      </c>
      <c r="C281" s="100" t="str">
        <f>[2]Base!C281</f>
        <v>N2</v>
      </c>
      <c r="D281" s="233" t="s">
        <v>62</v>
      </c>
      <c r="E281" s="234" t="str">
        <f>[2]Base!M281</f>
        <v>Bradesco BBI</v>
      </c>
      <c r="F281" s="62" t="str">
        <f>[2]Base!F281</f>
        <v>FOLLOW-ON</v>
      </c>
      <c r="G281" s="62" t="str">
        <f>[2]Base!G281</f>
        <v>ICVM 400</v>
      </c>
      <c r="H281" s="63">
        <f>[2]Base!X281</f>
        <v>42723</v>
      </c>
      <c r="I281" s="101">
        <f>[2]Base!W281</f>
        <v>9.5</v>
      </c>
      <c r="J281" s="235">
        <f>[2]Base!J281</f>
        <v>42725</v>
      </c>
      <c r="K281" s="193">
        <f>'[1]SITE (Imprensa)_PT'!K281</f>
        <v>1310</v>
      </c>
      <c r="L281" s="193">
        <f>[2]Base!DZ281</f>
        <v>1757</v>
      </c>
      <c r="M281" s="194">
        <f>[2]Base!AO281</f>
        <v>257592186.5</v>
      </c>
      <c r="N281" s="194">
        <f>[2]Base!AP281</f>
        <v>1717571452.5</v>
      </c>
      <c r="O281" s="194">
        <f>[2]Base!AQ281</f>
        <v>1975163639</v>
      </c>
      <c r="P281" s="194">
        <f>+[2]Base!ED281</f>
        <v>588091359.19728458</v>
      </c>
      <c r="Q281" s="236">
        <f>'[1]SITE (Imprensa)_PT'!P281</f>
        <v>9.039949803369178E-2</v>
      </c>
      <c r="R281" s="237">
        <f>'[1]SITE (Imprensa)_PT'!Q281</f>
        <v>0.50713993550789538</v>
      </c>
      <c r="S281" s="237">
        <f>'[1]SITE (Imprensa)_PT'!R281</f>
        <v>0.39437625046316477</v>
      </c>
      <c r="T281" s="238">
        <f>'[1]SITE (Imprensa)_PT'!S281</f>
        <v>8.084315995248028E-3</v>
      </c>
      <c r="U281" s="1"/>
    </row>
    <row r="282" spans="2:21" ht="13.8" thickTop="1" x14ac:dyDescent="0.25">
      <c r="B282" s="106" t="str">
        <f>[2]Base!A282</f>
        <v>MOVIDA</v>
      </c>
      <c r="C282" s="107" t="str">
        <f>[2]Base!C282</f>
        <v>NM</v>
      </c>
      <c r="D282" s="245" t="s">
        <v>71</v>
      </c>
      <c r="E282" s="245" t="str">
        <f>[2]Base!M282</f>
        <v>Bradesco BBI</v>
      </c>
      <c r="F282" s="107" t="str">
        <f>[2]Base!F282</f>
        <v>IPO</v>
      </c>
      <c r="G282" s="107" t="str">
        <f>[2]Base!G282</f>
        <v>ICVM 400</v>
      </c>
      <c r="H282" s="108">
        <f>[2]Base!X282</f>
        <v>42772</v>
      </c>
      <c r="I282" s="246">
        <f>[2]Base!W282</f>
        <v>7.5</v>
      </c>
      <c r="J282" s="247">
        <f>[2]Base!J282</f>
        <v>42774</v>
      </c>
      <c r="K282" s="248">
        <f>'[1]SITE (Imprensa)_PT'!K282</f>
        <v>1096</v>
      </c>
      <c r="L282" s="248">
        <f>[2]Base!DZ282</f>
        <v>1373</v>
      </c>
      <c r="M282" s="249">
        <f>[2]Base!AO282</f>
        <v>535955055</v>
      </c>
      <c r="N282" s="249">
        <f>[2]Base!AP282</f>
        <v>64128735</v>
      </c>
      <c r="O282" s="249">
        <f>[2]Base!AQ282</f>
        <v>600083790</v>
      </c>
      <c r="P282" s="248">
        <f>+[2]Base!ED282</f>
        <v>191996093.42505199</v>
      </c>
      <c r="Q282" s="250">
        <f>'[1]SITE (Imprensa)_PT'!P282</f>
        <v>9.3400396584743584E-2</v>
      </c>
      <c r="R282" s="251">
        <f>'[1]SITE (Imprensa)_PT'!Q282</f>
        <v>0.3086604509575126</v>
      </c>
      <c r="S282" s="251">
        <f>'[1]SITE (Imprensa)_PT'!R282</f>
        <v>0.450424733202273</v>
      </c>
      <c r="T282" s="252">
        <f>'[1]SITE (Imprensa)_PT'!S282</f>
        <v>0.14751441925547082</v>
      </c>
      <c r="U282" s="1"/>
    </row>
    <row r="283" spans="2:21" ht="13.2" x14ac:dyDescent="0.25">
      <c r="B283" s="40" t="str">
        <f>[2]Base!A283</f>
        <v>IHPARDINI</v>
      </c>
      <c r="C283" s="41" t="str">
        <f>[2]Base!C283</f>
        <v>NM</v>
      </c>
      <c r="D283" s="213" t="s">
        <v>131</v>
      </c>
      <c r="E283" s="213" t="str">
        <f>[2]Base!M283</f>
        <v>Itaú BBA</v>
      </c>
      <c r="F283" s="19" t="str">
        <f>[2]Base!F283</f>
        <v>IPO</v>
      </c>
      <c r="G283" s="19" t="str">
        <f>[2]Base!G283</f>
        <v>ICVM 400</v>
      </c>
      <c r="H283" s="20">
        <f>[2]Base!X283</f>
        <v>42776</v>
      </c>
      <c r="I283" s="187">
        <f>[2]Base!W283</f>
        <v>19</v>
      </c>
      <c r="J283" s="188">
        <f>[2]Base!J283</f>
        <v>42780</v>
      </c>
      <c r="K283" s="189">
        <f>'[1]SITE (Imprensa)_PT'!K283</f>
        <v>4616</v>
      </c>
      <c r="L283" s="189">
        <f>[2]Base!DZ283</f>
        <v>5042</v>
      </c>
      <c r="M283" s="190">
        <f>[2]Base!AO283</f>
        <v>187272151</v>
      </c>
      <c r="N283" s="190">
        <f>[2]Base!AP283</f>
        <v>690396673</v>
      </c>
      <c r="O283" s="190">
        <f>[2]Base!AQ283</f>
        <v>877668824</v>
      </c>
      <c r="P283" s="189">
        <f>+[2]Base!ED283</f>
        <v>283082448.71629465</v>
      </c>
      <c r="Q283" s="191">
        <f>'[1]SITE (Imprensa)_PT'!P283</f>
        <v>0.10052935183214393</v>
      </c>
      <c r="R283" s="157">
        <f>'[1]SITE (Imprensa)_PT'!Q283</f>
        <v>0.48025412715354693</v>
      </c>
      <c r="S283" s="157">
        <f>'[1]SITE (Imprensa)_PT'!R283</f>
        <v>0.41314996509435087</v>
      </c>
      <c r="T283" s="158">
        <f>'[1]SITE (Imprensa)_PT'!S283</f>
        <v>6.0665559199582549E-3</v>
      </c>
      <c r="U283" s="1"/>
    </row>
    <row r="284" spans="2:21" ht="13.2" x14ac:dyDescent="0.25">
      <c r="B284" s="40" t="str">
        <f>[2]Base!A284</f>
        <v xml:space="preserve">CCR SA </v>
      </c>
      <c r="C284" s="41" t="str">
        <f>[2]Base!C284</f>
        <v>NM</v>
      </c>
      <c r="D284" s="213" t="s">
        <v>54</v>
      </c>
      <c r="E284" s="213" t="str">
        <f>[2]Base!M284</f>
        <v>Bradesco BBI</v>
      </c>
      <c r="F284" s="19" t="str">
        <f>[2]Base!F284</f>
        <v>FOLLOW-ON</v>
      </c>
      <c r="G284" s="19" t="str">
        <f>[2]Base!G284</f>
        <v>ICVM 476</v>
      </c>
      <c r="H284" s="20">
        <f>[2]Base!X284</f>
        <v>42775</v>
      </c>
      <c r="I284" s="187">
        <f>[2]Base!W284</f>
        <v>16</v>
      </c>
      <c r="J284" s="188">
        <f>[2]Base!J284</f>
        <v>42776</v>
      </c>
      <c r="K284" s="189">
        <f>'[1]SITE (Imprensa)_PT'!K284</f>
        <v>0</v>
      </c>
      <c r="L284" s="189">
        <f>[2]Base!DZ284</f>
        <v>396</v>
      </c>
      <c r="M284" s="190">
        <f>[2]Base!AO284</f>
        <v>4070604800</v>
      </c>
      <c r="N284" s="190">
        <f>[2]Base!AP284</f>
        <v>0</v>
      </c>
      <c r="O284" s="190">
        <f>[2]Base!AQ284</f>
        <v>4070604800</v>
      </c>
      <c r="P284" s="189">
        <f>+[2]Base!ED284</f>
        <v>1306775216.6934187</v>
      </c>
      <c r="Q284" s="191">
        <f>'[1]SITE (Imprensa)_PT'!P284</f>
        <v>9.2369566311128996E-5</v>
      </c>
      <c r="R284" s="157">
        <f>'[1]SITE (Imprensa)_PT'!Q284</f>
        <v>0.12943539790450795</v>
      </c>
      <c r="S284" s="157">
        <f>'[1]SITE (Imprensa)_PT'!R284</f>
        <v>0.68391256650608778</v>
      </c>
      <c r="T284" s="158">
        <f>'[1]SITE (Imprensa)_PT'!S284</f>
        <v>0.18655966602309318</v>
      </c>
      <c r="U284" s="1"/>
    </row>
    <row r="285" spans="2:21" ht="13.2" x14ac:dyDescent="0.25">
      <c r="B285" s="40" t="str">
        <f>[2]Base!A285</f>
        <v>LOJAS AMERIC</v>
      </c>
      <c r="C285" s="41" t="str">
        <f>[2]Base!C285</f>
        <v>BÁSICO</v>
      </c>
      <c r="D285" s="213" t="s">
        <v>132</v>
      </c>
      <c r="E285" s="213" t="str">
        <f>[2]Base!M285</f>
        <v>Credit Suisse</v>
      </c>
      <c r="F285" s="19" t="str">
        <f>[2]Base!F285</f>
        <v>FOLLOW-ON</v>
      </c>
      <c r="G285" s="19" t="str">
        <f>[2]Base!G285</f>
        <v>ICVM 476</v>
      </c>
      <c r="H285" s="20">
        <f>[2]Base!X285</f>
        <v>42802</v>
      </c>
      <c r="I285" s="187">
        <f>[2]Base!W285</f>
        <v>15.798929639613231</v>
      </c>
      <c r="J285" s="188">
        <f>[2]Base!J285</f>
        <v>42804</v>
      </c>
      <c r="K285" s="189">
        <f>'[1]SITE (Imprensa)_PT'!K285</f>
        <v>0</v>
      </c>
      <c r="L285" s="189">
        <f>[2]Base!DZ285</f>
        <v>1203</v>
      </c>
      <c r="M285" s="190">
        <f>[2]Base!AO285</f>
        <v>2405053617.02</v>
      </c>
      <c r="N285" s="190">
        <f>[2]Base!AP285</f>
        <v>0</v>
      </c>
      <c r="O285" s="190">
        <f>[2]Base!AQ285</f>
        <v>2405053617.02</v>
      </c>
      <c r="P285" s="189">
        <f>+[2]Base!ED285</f>
        <v>760539359.64962208</v>
      </c>
      <c r="Q285" s="191">
        <f>'[1]SITE (Imprensa)_PT'!P285</f>
        <v>1.0287140228619933E-3</v>
      </c>
      <c r="R285" s="157">
        <f>'[1]SITE (Imprensa)_PT'!Q285</f>
        <v>0.38560231035243137</v>
      </c>
      <c r="S285" s="157">
        <f>'[1]SITE (Imprensa)_PT'!R285</f>
        <v>0.47038976752481998</v>
      </c>
      <c r="T285" s="158">
        <f>'[1]SITE (Imprensa)_PT'!S285</f>
        <v>0.14297920809988662</v>
      </c>
      <c r="U285" s="1"/>
    </row>
    <row r="286" spans="2:21" ht="13.2" x14ac:dyDescent="0.25">
      <c r="B286" s="40" t="str">
        <f>[2]Base!A286</f>
        <v>ALUPAR</v>
      </c>
      <c r="C286" s="41" t="str">
        <f>[2]Base!C286</f>
        <v>N2</v>
      </c>
      <c r="D286" s="213" t="s">
        <v>126</v>
      </c>
      <c r="E286" s="213" t="str">
        <f>[2]Base!M286</f>
        <v>Santander</v>
      </c>
      <c r="F286" s="19" t="str">
        <f>[2]Base!F286</f>
        <v>FOLLOW-ON</v>
      </c>
      <c r="G286" s="19" t="str">
        <f>[2]Base!G286</f>
        <v>ICVM 476</v>
      </c>
      <c r="H286" s="20">
        <f>[2]Base!X286</f>
        <v>42829</v>
      </c>
      <c r="I286" s="187">
        <f>[2]Base!W286</f>
        <v>6.5</v>
      </c>
      <c r="J286" s="188">
        <f>[2]Base!J286</f>
        <v>42831</v>
      </c>
      <c r="K286" s="189">
        <f>'[1]SITE (Imprensa)_PT'!K286</f>
        <v>150</v>
      </c>
      <c r="L286" s="189">
        <f>[2]Base!DZ286</f>
        <v>811</v>
      </c>
      <c r="M286" s="190">
        <f>[2]Base!AO286</f>
        <v>833462493.5</v>
      </c>
      <c r="N286" s="190">
        <f>[2]Base!AP286</f>
        <v>0</v>
      </c>
      <c r="O286" s="190">
        <f>[2]Base!AQ286</f>
        <v>833462493.5</v>
      </c>
      <c r="P286" s="189">
        <f>+[2]Base!ED286</f>
        <v>267478335.52631578</v>
      </c>
      <c r="Q286" s="191">
        <f>'[1]SITE (Imprensa)_PT'!P286</f>
        <v>2.6108637364855819E-3</v>
      </c>
      <c r="R286" s="157">
        <f>'[1]SITE (Imprensa)_PT'!Q286</f>
        <v>0.44916412126468414</v>
      </c>
      <c r="S286" s="157">
        <f>'[1]SITE (Imprensa)_PT'!R286</f>
        <v>0.54812231271688294</v>
      </c>
      <c r="T286" s="158">
        <f>'[1]SITE (Imprensa)_PT'!S286</f>
        <v>1.0270228194737596E-4</v>
      </c>
      <c r="U286" s="1"/>
    </row>
    <row r="287" spans="2:21" ht="13.2" x14ac:dyDescent="0.25">
      <c r="B287" s="40" t="str">
        <f>[2]Base!A287</f>
        <v>AZUL¹</v>
      </c>
      <c r="C287" s="41" t="str">
        <f>[2]Base!C287</f>
        <v>N2</v>
      </c>
      <c r="D287" s="213" t="s">
        <v>133</v>
      </c>
      <c r="E287" s="213" t="str">
        <f>[2]Base!M287</f>
        <v>Itaú BBA</v>
      </c>
      <c r="F287" s="19" t="str">
        <f>[2]Base!F287</f>
        <v>IPO</v>
      </c>
      <c r="G287" s="19" t="str">
        <f>[2]Base!G287</f>
        <v>ICVM 400</v>
      </c>
      <c r="H287" s="20">
        <f>[2]Base!X287</f>
        <v>42835</v>
      </c>
      <c r="I287" s="187">
        <f>[2]Base!W287</f>
        <v>21</v>
      </c>
      <c r="J287" s="188">
        <f>[2]Base!J287</f>
        <v>42836</v>
      </c>
      <c r="K287" s="189">
        <f>'[1]SITE (Imprensa)_PT'!K287</f>
        <v>1517</v>
      </c>
      <c r="L287" s="189">
        <f>[2]Base!DZ287</f>
        <v>1753</v>
      </c>
      <c r="M287" s="190">
        <f>[2]Base!AO287</f>
        <v>1323000000</v>
      </c>
      <c r="N287" s="190">
        <f>[2]Base!AP287</f>
        <v>698036577</v>
      </c>
      <c r="O287" s="190">
        <f>[2]Base!AQ287</f>
        <v>2021036577</v>
      </c>
      <c r="P287" s="189">
        <f>+[2]Base!ED287</f>
        <v>643150641.86608958</v>
      </c>
      <c r="Q287" s="191">
        <f>'[1]SITE (Imprensa)_PT'!P287</f>
        <v>6.3673746662725544E-2</v>
      </c>
      <c r="R287" s="157">
        <f>'[1]SITE (Imprensa)_PT'!Q287</f>
        <v>7.6148414507393652E-2</v>
      </c>
      <c r="S287" s="157">
        <f>'[1]SITE (Imprensa)_PT'!R287</f>
        <v>0.8582679540490078</v>
      </c>
      <c r="T287" s="158">
        <f>'[1]SITE (Imprensa)_PT'!S287</f>
        <v>1.9098847808730183E-3</v>
      </c>
      <c r="U287" s="1"/>
    </row>
    <row r="288" spans="2:21" ht="13.2" x14ac:dyDescent="0.25">
      <c r="B288" s="40" t="str">
        <f>[2]Base!A288</f>
        <v>SANTANDER BR ¹</v>
      </c>
      <c r="C288" s="41" t="str">
        <f>[2]Base!C288</f>
        <v>BÁSICO</v>
      </c>
      <c r="D288" s="213" t="s">
        <v>67</v>
      </c>
      <c r="E288" s="213" t="str">
        <f>[2]Base!M288</f>
        <v>BofA Merrill Lynch</v>
      </c>
      <c r="F288" s="19" t="str">
        <f>[2]Base!F288</f>
        <v>FOLLOW-ON</v>
      </c>
      <c r="G288" s="19" t="str">
        <f>[2]Base!G288</f>
        <v>ICVM 476</v>
      </c>
      <c r="H288" s="20">
        <f>[2]Base!X288</f>
        <v>42831</v>
      </c>
      <c r="I288" s="187">
        <f>[2]Base!W288</f>
        <v>25</v>
      </c>
      <c r="J288" s="188">
        <f>[2]Base!J288</f>
        <v>42831</v>
      </c>
      <c r="K288" s="189">
        <f>'[1]SITE (Imprensa)_PT'!K288</f>
        <v>0</v>
      </c>
      <c r="L288" s="189">
        <f>[2]Base!DZ288</f>
        <v>157</v>
      </c>
      <c r="M288" s="190">
        <f>[2]Base!AO288</f>
        <v>0</v>
      </c>
      <c r="N288" s="190">
        <f>[2]Base!AP288</f>
        <v>2000000000</v>
      </c>
      <c r="O288" s="190">
        <f>[2]Base!AQ288</f>
        <v>2000000000</v>
      </c>
      <c r="P288" s="189">
        <f>+[2]Base!ED288</f>
        <v>641848523.74839532</v>
      </c>
      <c r="Q288" s="191">
        <f>'[1]SITE (Imprensa)_PT'!P288</f>
        <v>0</v>
      </c>
      <c r="R288" s="157">
        <f>'[1]SITE (Imprensa)_PT'!Q288</f>
        <v>0.19256071250000001</v>
      </c>
      <c r="S288" s="157">
        <f>'[1]SITE (Imprensa)_PT'!R288</f>
        <v>0.80511428750000003</v>
      </c>
      <c r="T288" s="158">
        <f>'[1]SITE (Imprensa)_PT'!S288</f>
        <v>2.3249999999999998E-3</v>
      </c>
      <c r="U288" s="1"/>
    </row>
    <row r="289" spans="2:21" ht="13.2" x14ac:dyDescent="0.25">
      <c r="B289" s="40" t="str">
        <f>[2]Base!A289</f>
        <v>BR MALLS PAR</v>
      </c>
      <c r="C289" s="41" t="str">
        <f>[2]Base!C289</f>
        <v>NM</v>
      </c>
      <c r="D289" s="213" t="s">
        <v>82</v>
      </c>
      <c r="E289" s="213" t="str">
        <f>[2]Base!M289</f>
        <v>Itaú BBA</v>
      </c>
      <c r="F289" s="19" t="str">
        <f>[2]Base!F289</f>
        <v>FOLLOW-ON</v>
      </c>
      <c r="G289" s="19" t="str">
        <f>[2]Base!G289</f>
        <v>ICVM 476</v>
      </c>
      <c r="H289" s="20">
        <f>[2]Base!X289</f>
        <v>42879</v>
      </c>
      <c r="I289" s="187">
        <f>[2]Base!W289</f>
        <v>11</v>
      </c>
      <c r="J289" s="188">
        <f>[2]Base!J289</f>
        <v>42879</v>
      </c>
      <c r="K289" s="189">
        <f>'[1]SITE (Imprensa)_PT'!K289</f>
        <v>53</v>
      </c>
      <c r="L289" s="189">
        <f>[2]Base!DZ289</f>
        <v>536</v>
      </c>
      <c r="M289" s="190">
        <f>[2]Base!AO289</f>
        <v>1730088492</v>
      </c>
      <c r="N289" s="190">
        <f>[2]Base!AP289</f>
        <v>0</v>
      </c>
      <c r="O289" s="190">
        <f>[2]Base!AQ289</f>
        <v>1730088492</v>
      </c>
      <c r="P289" s="189">
        <f>+[2]Base!ED289</f>
        <v>530230314.13773024</v>
      </c>
      <c r="Q289" s="191">
        <f>'[1]SITE (Imprensa)_PT'!P289</f>
        <v>1.9905166793052109E-4</v>
      </c>
      <c r="R289" s="157">
        <f>'[1]SITE (Imprensa)_PT'!Q289</f>
        <v>0.33419547940672623</v>
      </c>
      <c r="S289" s="157">
        <f>'[1]SITE (Imprensa)_PT'!R289</f>
        <v>0.66158176665104362</v>
      </c>
      <c r="T289" s="158">
        <f>'[1]SITE (Imprensa)_PT'!S289</f>
        <v>4.02370227429962E-3</v>
      </c>
      <c r="U289" s="1"/>
    </row>
    <row r="290" spans="2:21" ht="13.2" x14ac:dyDescent="0.25">
      <c r="B290" s="40" t="str">
        <f>[2]Base!A290</f>
        <v>BR PROPERT</v>
      </c>
      <c r="C290" s="41" t="str">
        <f>[2]Base!C290</f>
        <v>NM</v>
      </c>
      <c r="D290" s="213" t="s">
        <v>82</v>
      </c>
      <c r="E290" s="213" t="str">
        <f>[2]Base!M290</f>
        <v>Itaú BBA</v>
      </c>
      <c r="F290" s="19" t="str">
        <f>[2]Base!F290</f>
        <v>FOLLOW-ON</v>
      </c>
      <c r="G290" s="19" t="str">
        <f>[2]Base!G290</f>
        <v>ICVM 476</v>
      </c>
      <c r="H290" s="20">
        <f>[2]Base!X290</f>
        <v>42915</v>
      </c>
      <c r="I290" s="187">
        <f>[2]Base!W290</f>
        <v>8.75</v>
      </c>
      <c r="J290" s="188">
        <f>[2]Base!J290</f>
        <v>42919</v>
      </c>
      <c r="K290" s="189">
        <f>'[1]SITE (Imprensa)_PT'!K290</f>
        <v>12</v>
      </c>
      <c r="L290" s="189">
        <f>[2]Base!DZ290</f>
        <v>179</v>
      </c>
      <c r="M290" s="190">
        <f>[2]Base!AO290</f>
        <v>952934928.75</v>
      </c>
      <c r="N290" s="190">
        <f>[2]Base!AP290</f>
        <v>0</v>
      </c>
      <c r="O290" s="190">
        <f>[2]Base!AQ290</f>
        <v>952934928.75</v>
      </c>
      <c r="P290" s="189">
        <f>+[2]Base!ED290</f>
        <v>288636961.60835987</v>
      </c>
      <c r="Q290" s="191">
        <f>'[1]SITE (Imprensa)_PT'!P290</f>
        <v>3.2091645586036556E-5</v>
      </c>
      <c r="R290" s="157">
        <f>'[1]SITE (Imprensa)_PT'!Q290</f>
        <v>4.1219675724894031E-2</v>
      </c>
      <c r="S290" s="157">
        <f>'[1]SITE (Imprensa)_PT'!R290</f>
        <v>0.95874823262951991</v>
      </c>
      <c r="T290" s="158">
        <f>'[1]SITE (Imprensa)_PT'!S290</f>
        <v>0</v>
      </c>
      <c r="U290" s="1"/>
    </row>
    <row r="291" spans="2:21" ht="13.2" x14ac:dyDescent="0.25">
      <c r="B291" s="40" t="str">
        <f>[2]Base!A291</f>
        <v>CARREFOUR BR</v>
      </c>
      <c r="C291" s="41" t="str">
        <f>[2]Base!C291</f>
        <v>NM</v>
      </c>
      <c r="D291" s="213" t="s">
        <v>110</v>
      </c>
      <c r="E291" s="213" t="str">
        <f>[2]Base!M291</f>
        <v>Itaú BBA</v>
      </c>
      <c r="F291" s="19" t="str">
        <f>[2]Base!F291</f>
        <v>IPO</v>
      </c>
      <c r="G291" s="19" t="str">
        <f>[2]Base!G291</f>
        <v>ICVM 400</v>
      </c>
      <c r="H291" s="20">
        <f>[2]Base!X291</f>
        <v>42934</v>
      </c>
      <c r="I291" s="187">
        <f>[2]Base!W291</f>
        <v>15</v>
      </c>
      <c r="J291" s="188">
        <f>[2]Base!J291</f>
        <v>42936</v>
      </c>
      <c r="K291" s="189">
        <f>'[1]SITE (Imprensa)_PT'!K291</f>
        <v>4068</v>
      </c>
      <c r="L291" s="189">
        <f>[2]Base!DZ291</f>
        <v>4839</v>
      </c>
      <c r="M291" s="190">
        <f>[2]Base!AO291</f>
        <v>3088235295</v>
      </c>
      <c r="N291" s="190">
        <f>[2]Base!AP291</f>
        <v>1884470475</v>
      </c>
      <c r="O291" s="190">
        <f>[2]Base!AQ291</f>
        <v>4972705770</v>
      </c>
      <c r="P291" s="189">
        <f>+[2]Base!ED291</f>
        <v>1583563394.0513341</v>
      </c>
      <c r="Q291" s="191">
        <f>'[1]SITE (Imprensa)_PT'!P291</f>
        <v>4.7275200792959243E-2</v>
      </c>
      <c r="R291" s="157">
        <f>'[1]SITE (Imprensa)_PT'!Q291</f>
        <v>0.31807122323055381</v>
      </c>
      <c r="S291" s="157">
        <f>'[1]SITE (Imprensa)_PT'!R291</f>
        <v>0.62964555787178444</v>
      </c>
      <c r="T291" s="158">
        <f>'[1]SITE (Imprensa)_PT'!S291</f>
        <v>5.0080181047025508E-3</v>
      </c>
      <c r="U291" s="1"/>
    </row>
    <row r="292" spans="2:21" ht="13.2" x14ac:dyDescent="0.25">
      <c r="B292" s="40" t="str">
        <f>[2]Base!A292</f>
        <v>BIOTOSCANA</v>
      </c>
      <c r="C292" s="41" t="str">
        <f>[2]Base!C292</f>
        <v>BDR</v>
      </c>
      <c r="D292" s="213" t="s">
        <v>128</v>
      </c>
      <c r="E292" s="213" t="str">
        <f>[2]Base!M292</f>
        <v>JP Morgan</v>
      </c>
      <c r="F292" s="19" t="str">
        <f>[2]Base!F292</f>
        <v>IPO</v>
      </c>
      <c r="G292" s="19" t="str">
        <f>[2]Base!G292</f>
        <v>ICVM 400</v>
      </c>
      <c r="H292" s="20">
        <f>[2]Base!X292</f>
        <v>42934</v>
      </c>
      <c r="I292" s="187">
        <f>[2]Base!W292</f>
        <v>26.5</v>
      </c>
      <c r="J292" s="188">
        <f>[2]Base!J292</f>
        <v>42941</v>
      </c>
      <c r="K292" s="189">
        <f>'[1]SITE (Imprensa)_PT'!K292</f>
        <v>4295</v>
      </c>
      <c r="L292" s="189">
        <f>[2]Base!DZ292</f>
        <v>4661</v>
      </c>
      <c r="M292" s="190">
        <f>[2]Base!AO292</f>
        <v>424000000</v>
      </c>
      <c r="N292" s="190">
        <f>[2]Base!AP292</f>
        <v>917562500</v>
      </c>
      <c r="O292" s="190">
        <f>[2]Base!AQ292</f>
        <v>1341562500</v>
      </c>
      <c r="P292" s="189">
        <f>+[2]Base!ED292</f>
        <v>425137057.92876154</v>
      </c>
      <c r="Q292" s="191">
        <f>'[1]SITE (Imprensa)_PT'!P292</f>
        <v>9.5759269135802474E-2</v>
      </c>
      <c r="R292" s="157">
        <f>'[1]SITE (Imprensa)_PT'!Q292</f>
        <v>0.22420246913580247</v>
      </c>
      <c r="S292" s="157">
        <f>'[1]SITE (Imprensa)_PT'!R292</f>
        <v>0.67580843456790118</v>
      </c>
      <c r="T292" s="158">
        <f>'[1]SITE (Imprensa)_PT'!S292</f>
        <v>4.2298271604938268E-3</v>
      </c>
      <c r="U292" s="1"/>
    </row>
    <row r="293" spans="2:21" ht="13.2" x14ac:dyDescent="0.25">
      <c r="B293" s="40" t="str">
        <f>[2]Base!A293</f>
        <v>IRBBRASIL RE</v>
      </c>
      <c r="C293" s="41" t="str">
        <f>[2]Base!C293</f>
        <v>NM</v>
      </c>
      <c r="D293" s="213" t="s">
        <v>64</v>
      </c>
      <c r="E293" s="213" t="str">
        <f>[2]Base!M293</f>
        <v>Bradesco BBI</v>
      </c>
      <c r="F293" s="19" t="str">
        <f>[2]Base!F293</f>
        <v>IPO</v>
      </c>
      <c r="G293" s="19" t="str">
        <f>[2]Base!G293</f>
        <v>ICVM 400</v>
      </c>
      <c r="H293" s="20">
        <f>[2]Base!X293</f>
        <v>42943</v>
      </c>
      <c r="I293" s="187">
        <f>[2]Base!W293</f>
        <v>27.24</v>
      </c>
      <c r="J293" s="188">
        <f>[2]Base!J293</f>
        <v>42947</v>
      </c>
      <c r="K293" s="189">
        <f>'[1]SITE (Imprensa)_PT'!K293</f>
        <v>7324</v>
      </c>
      <c r="L293" s="189">
        <f>[2]Base!DZ293</f>
        <v>7879</v>
      </c>
      <c r="M293" s="190">
        <f>[2]Base!AO293</f>
        <v>0</v>
      </c>
      <c r="N293" s="190">
        <f>[2]Base!AP293</f>
        <v>2003610960</v>
      </c>
      <c r="O293" s="190">
        <f>[2]Base!AQ293</f>
        <v>2003610960</v>
      </c>
      <c r="P293" s="189">
        <f>+[2]Base!ED293</f>
        <v>639988168.78014505</v>
      </c>
      <c r="Q293" s="191">
        <f>'[1]SITE (Imprensa)_PT'!P293</f>
        <v>9.6732128776137266E-2</v>
      </c>
      <c r="R293" s="157">
        <f>'[1]SITE (Imprensa)_PT'!Q293</f>
        <v>0.26792439568208393</v>
      </c>
      <c r="S293" s="157">
        <f>'[1]SITE (Imprensa)_PT'!R293</f>
        <v>0.63158524349457534</v>
      </c>
      <c r="T293" s="158">
        <f>'[1]SITE (Imprensa)_PT'!S293</f>
        <v>3.758232047203415E-3</v>
      </c>
      <c r="U293" s="1"/>
    </row>
    <row r="294" spans="2:21" ht="13.2" x14ac:dyDescent="0.25">
      <c r="B294" s="40" t="str">
        <f>[2]Base!A294</f>
        <v>OMEGA GER</v>
      </c>
      <c r="C294" s="41" t="str">
        <f>[2]Base!C294</f>
        <v>NM</v>
      </c>
      <c r="D294" s="213" t="s">
        <v>126</v>
      </c>
      <c r="E294" s="213" t="str">
        <f>[2]Base!M294</f>
        <v>BTG Pactual</v>
      </c>
      <c r="F294" s="19" t="str">
        <f>[2]Base!F294</f>
        <v>IPO</v>
      </c>
      <c r="G294" s="19" t="str">
        <f>[2]Base!G294</f>
        <v>ICVM 400</v>
      </c>
      <c r="H294" s="20">
        <f>[2]Base!X294</f>
        <v>42943</v>
      </c>
      <c r="I294" s="187">
        <f>[2]Base!W294</f>
        <v>15.6</v>
      </c>
      <c r="J294" s="188">
        <f>[2]Base!J294</f>
        <v>42947</v>
      </c>
      <c r="K294" s="189">
        <f>'[1]SITE (Imprensa)_PT'!K294</f>
        <v>776</v>
      </c>
      <c r="L294" s="189">
        <f>[2]Base!DZ294</f>
        <v>1017</v>
      </c>
      <c r="M294" s="190">
        <f>[2]Base!AO294</f>
        <v>538538504.39999998</v>
      </c>
      <c r="N294" s="190">
        <f>[2]Base!AP294</f>
        <v>250637961.59999999</v>
      </c>
      <c r="O294" s="190">
        <f>[2]Base!AQ294</f>
        <v>789176466</v>
      </c>
      <c r="P294" s="189">
        <f>+[2]Base!ED294</f>
        <v>252076681.2533938</v>
      </c>
      <c r="Q294" s="191">
        <f>'[1]SITE (Imprensa)_PT'!P294</f>
        <v>4.0555793259045306E-2</v>
      </c>
      <c r="R294" s="157">
        <f>'[1]SITE (Imprensa)_PT'!Q294</f>
        <v>0.59343803949673268</v>
      </c>
      <c r="S294" s="157">
        <f>'[1]SITE (Imprensa)_PT'!R294</f>
        <v>0.24830644911806074</v>
      </c>
      <c r="T294" s="158">
        <f>'[1]SITE (Imprensa)_PT'!S294</f>
        <v>0.11769971812616115</v>
      </c>
      <c r="U294" s="1"/>
    </row>
    <row r="295" spans="2:21" ht="13.2" x14ac:dyDescent="0.25">
      <c r="B295" s="40" t="str">
        <f>[2]Base!A295</f>
        <v>BAHEMA</v>
      </c>
      <c r="C295" s="41" t="str">
        <f>[2]Base!C295</f>
        <v>BÁSICO</v>
      </c>
      <c r="D295" s="213" t="s">
        <v>134</v>
      </c>
      <c r="E295" s="213" t="str">
        <f>[2]Base!M295</f>
        <v>Coinvalores CCVM Ltda.</v>
      </c>
      <c r="F295" s="19" t="str">
        <f>[2]Base!F295</f>
        <v>FOLLOW-ON</v>
      </c>
      <c r="G295" s="19" t="str">
        <f>[2]Base!G295</f>
        <v>ICVM 476</v>
      </c>
      <c r="H295" s="20">
        <f>[2]Base!X295</f>
        <v>42825</v>
      </c>
      <c r="I295" s="187">
        <f>[2]Base!W295</f>
        <v>53.78</v>
      </c>
      <c r="J295" s="188">
        <f>[2]Base!J295</f>
        <v>42951</v>
      </c>
      <c r="K295" s="189">
        <f>'[1]SITE (Imprensa)_PT'!K295</f>
        <v>2</v>
      </c>
      <c r="L295" s="189">
        <f>[2]Base!DZ295</f>
        <v>11</v>
      </c>
      <c r="M295" s="190">
        <f>[2]Base!AO295</f>
        <v>30555214.559999999</v>
      </c>
      <c r="N295" s="190">
        <f>[2]Base!AP295</f>
        <v>0</v>
      </c>
      <c r="O295" s="190">
        <f>[2]Base!AQ295</f>
        <v>30555214.559999999</v>
      </c>
      <c r="P295" s="189">
        <f>+[2]Base!ED295</f>
        <v>9785810.4534973092</v>
      </c>
      <c r="Q295" s="191">
        <f>'[1]SITE (Imprensa)_PT'!P295</f>
        <v>2.4641293175065825E-2</v>
      </c>
      <c r="R295" s="157">
        <f>'[1]SITE (Imprensa)_PT'!Q295</f>
        <v>0.75683971894845037</v>
      </c>
      <c r="S295" s="157">
        <f>'[1]SITE (Imprensa)_PT'!R295</f>
        <v>0</v>
      </c>
      <c r="T295" s="158">
        <f>'[1]SITE (Imprensa)_PT'!S295</f>
        <v>0.21851898787648374</v>
      </c>
      <c r="U295" s="1"/>
    </row>
    <row r="296" spans="2:21" ht="13.2" x14ac:dyDescent="0.25">
      <c r="B296" s="40" t="str">
        <f>[2]Base!A296</f>
        <v>MAGAZ LUIZA</v>
      </c>
      <c r="C296" s="41" t="str">
        <f>[2]Base!C296</f>
        <v>NM</v>
      </c>
      <c r="D296" s="213" t="s">
        <v>120</v>
      </c>
      <c r="E296" s="213" t="str">
        <f>[2]Base!M296</f>
        <v>BofA Merrill Lynch</v>
      </c>
      <c r="F296" s="19" t="str">
        <f>[2]Base!F296</f>
        <v>FOLLOW-ON</v>
      </c>
      <c r="G296" s="19" t="str">
        <f>[2]Base!G296</f>
        <v>ICVM 476</v>
      </c>
      <c r="H296" s="20">
        <f>[2]Base!X296</f>
        <v>43005</v>
      </c>
      <c r="I296" s="187">
        <f>[2]Base!W296</f>
        <v>65</v>
      </c>
      <c r="J296" s="188">
        <f>[2]Base!J296</f>
        <v>43007</v>
      </c>
      <c r="K296" s="189">
        <f>'[1]SITE (Imprensa)_PT'!K296</f>
        <v>71</v>
      </c>
      <c r="L296" s="189">
        <f>[2]Base!DZ296</f>
        <v>155</v>
      </c>
      <c r="M296" s="190">
        <f>[2]Base!AO296</f>
        <v>1144000000</v>
      </c>
      <c r="N296" s="190">
        <f>[2]Base!AP296</f>
        <v>416000000</v>
      </c>
      <c r="O296" s="190">
        <f>[2]Base!AQ296</f>
        <v>1560000000</v>
      </c>
      <c r="P296" s="189">
        <f>+[2]Base!ED296</f>
        <v>492424242.42424238</v>
      </c>
      <c r="Q296" s="191">
        <f>'[1]SITE (Imprensa)_PT'!P296</f>
        <v>7.093333333333333E-4</v>
      </c>
      <c r="R296" s="157">
        <f>'[1]SITE (Imprensa)_PT'!Q296</f>
        <v>0.33676325000000001</v>
      </c>
      <c r="S296" s="157">
        <f>'[1]SITE (Imprensa)_PT'!R296</f>
        <v>0.6625274166666667</v>
      </c>
      <c r="T296" s="158">
        <f>'[1]SITE (Imprensa)_PT'!S296</f>
        <v>0</v>
      </c>
      <c r="U296" s="1"/>
    </row>
    <row r="297" spans="2:21" ht="13.2" x14ac:dyDescent="0.25">
      <c r="B297" s="40" t="str">
        <f>[2]Base!A297</f>
        <v>PARANAPANEMA</v>
      </c>
      <c r="C297" s="41" t="str">
        <f>[2]Base!C297</f>
        <v>NM</v>
      </c>
      <c r="D297" s="213" t="s">
        <v>135</v>
      </c>
      <c r="E297" s="213" t="str">
        <f>[2]Base!M297</f>
        <v>Modal</v>
      </c>
      <c r="F297" s="19" t="str">
        <f>[2]Base!F297</f>
        <v>FOLLOW-ON</v>
      </c>
      <c r="G297" s="19" t="str">
        <f>[2]Base!G297</f>
        <v>ICVM 476</v>
      </c>
      <c r="H297" s="20">
        <f>[2]Base!X297</f>
        <v>42991</v>
      </c>
      <c r="I297" s="187">
        <f>[2]Base!W297</f>
        <v>1.56</v>
      </c>
      <c r="J297" s="188">
        <f>[2]Base!J297</f>
        <v>42993</v>
      </c>
      <c r="K297" s="189">
        <f>'[1]SITE (Imprensa)_PT'!K297</f>
        <v>0</v>
      </c>
      <c r="L297" s="189">
        <f>[2]Base!DZ297</f>
        <v>39</v>
      </c>
      <c r="M297" s="190">
        <f>[2]Base!AO297</f>
        <v>0</v>
      </c>
      <c r="N297" s="190">
        <f>[2]Base!AP297</f>
        <v>352358788.07999998</v>
      </c>
      <c r="O297" s="190">
        <f>[2]Base!AQ297</f>
        <v>352358788.07999998</v>
      </c>
      <c r="P297" s="189">
        <f>+[2]Base!ED297</f>
        <v>112736774.30171171</v>
      </c>
      <c r="Q297" s="191">
        <f>'[1]SITE (Imprensa)_PT'!P297</f>
        <v>0</v>
      </c>
      <c r="R297" s="157">
        <f>'[1]SITE (Imprensa)_PT'!Q297</f>
        <v>0</v>
      </c>
      <c r="S297" s="157">
        <f>'[1]SITE (Imprensa)_PT'!R297</f>
        <v>0.18730907743108505</v>
      </c>
      <c r="T297" s="158">
        <f>'[1]SITE (Imprensa)_PT'!S297</f>
        <v>0.81269092256891518</v>
      </c>
      <c r="U297" s="1"/>
    </row>
    <row r="298" spans="2:21" ht="13.2" x14ac:dyDescent="0.25">
      <c r="B298" s="40" t="str">
        <f>[2]Base!A298</f>
        <v>AZUL ¹</v>
      </c>
      <c r="C298" s="41" t="str">
        <f>[2]Base!C298</f>
        <v>N2</v>
      </c>
      <c r="D298" s="213" t="s">
        <v>133</v>
      </c>
      <c r="E298" s="213" t="str">
        <f>[2]Base!M298</f>
        <v>Itaú BBA</v>
      </c>
      <c r="F298" s="19" t="str">
        <f>[2]Base!F298</f>
        <v>FOLLOW-ON</v>
      </c>
      <c r="G298" s="19" t="str">
        <f>[2]Base!G298</f>
        <v>ICVM 476</v>
      </c>
      <c r="H298" s="20">
        <f>[2]Base!X298</f>
        <v>42992</v>
      </c>
      <c r="I298" s="187">
        <f>[2]Base!W298</f>
        <v>27.96</v>
      </c>
      <c r="J298" s="188">
        <f>[2]Base!J298</f>
        <v>42997</v>
      </c>
      <c r="K298" s="189">
        <f>'[1]SITE (Imprensa)_PT'!K298</f>
        <v>0</v>
      </c>
      <c r="L298" s="189">
        <f>[2]Base!DZ298</f>
        <v>145</v>
      </c>
      <c r="M298" s="190">
        <f>[2]Base!AO298</f>
        <v>0</v>
      </c>
      <c r="N298" s="190">
        <f>[2]Base!AP298</f>
        <v>1249622011.8</v>
      </c>
      <c r="O298" s="190">
        <f>[2]Base!AQ298</f>
        <v>1249622011.8</v>
      </c>
      <c r="P298" s="189">
        <f>+[2]Base!ED298</f>
        <v>401240050.02568716</v>
      </c>
      <c r="Q298" s="191">
        <f>'[1]SITE (Imprensa)_PT'!P298</f>
        <v>0</v>
      </c>
      <c r="R298" s="157">
        <f>'[1]SITE (Imprensa)_PT'!Q298</f>
        <v>7.5092426904692824E-2</v>
      </c>
      <c r="S298" s="157">
        <f>'[1]SITE (Imprensa)_PT'!R298</f>
        <v>0.92490757309530713</v>
      </c>
      <c r="T298" s="158">
        <f>'[1]SITE (Imprensa)_PT'!S298</f>
        <v>0</v>
      </c>
      <c r="U298" s="1"/>
    </row>
    <row r="299" spans="2:21" ht="13.2" x14ac:dyDescent="0.25">
      <c r="B299" s="40" t="str">
        <f>[2]Base!A299</f>
        <v>CAMIL</v>
      </c>
      <c r="C299" s="41" t="str">
        <f>[2]Base!C299</f>
        <v>NM</v>
      </c>
      <c r="D299" s="213" t="s">
        <v>136</v>
      </c>
      <c r="E299" s="213" t="str">
        <f>[2]Base!M299</f>
        <v>BofA Merrill Lynch</v>
      </c>
      <c r="F299" s="19" t="str">
        <f>[2]Base!F299</f>
        <v>IPO</v>
      </c>
      <c r="G299" s="19" t="str">
        <f>[2]Base!G299</f>
        <v>ICVM 400</v>
      </c>
      <c r="H299" s="20">
        <f>[2]Base!X299</f>
        <v>42998</v>
      </c>
      <c r="I299" s="187">
        <f>[2]Base!W299</f>
        <v>9</v>
      </c>
      <c r="J299" s="188">
        <f>[2]Base!J299</f>
        <v>43006</v>
      </c>
      <c r="K299" s="189">
        <f>'[1]SITE (Imprensa)_PT'!K299</f>
        <v>2573</v>
      </c>
      <c r="L299" s="189">
        <f>[2]Base!DZ299</f>
        <v>2940</v>
      </c>
      <c r="M299" s="190">
        <f>[2]Base!AO299</f>
        <v>369000000</v>
      </c>
      <c r="N299" s="190">
        <f>[2]Base!AP299</f>
        <v>778500000</v>
      </c>
      <c r="O299" s="190">
        <f>[2]Base!AQ299</f>
        <v>1147500000</v>
      </c>
      <c r="P299" s="189">
        <f>+[2]Base!ED299</f>
        <v>360112976.62011611</v>
      </c>
      <c r="Q299" s="191">
        <f>'[1]SITE (Imprensa)_PT'!P299</f>
        <v>9.0348453537936912E-2</v>
      </c>
      <c r="R299" s="157">
        <f>'[1]SITE (Imprensa)_PT'!Q299</f>
        <v>0.55473237169650469</v>
      </c>
      <c r="S299" s="157">
        <f>'[1]SITE (Imprensa)_PT'!R299</f>
        <v>0.34709945780051149</v>
      </c>
      <c r="T299" s="158">
        <f>'[1]SITE (Imprensa)_PT'!S299</f>
        <v>7.8197169650468887E-3</v>
      </c>
      <c r="U299" s="1"/>
    </row>
    <row r="300" spans="2:21" ht="13.2" x14ac:dyDescent="0.25">
      <c r="B300" s="40" t="str">
        <f>[2]Base!A300</f>
        <v>ENEVA</v>
      </c>
      <c r="C300" s="41" t="str">
        <f>[2]Base!C300</f>
        <v>NM</v>
      </c>
      <c r="D300" s="213" t="s">
        <v>126</v>
      </c>
      <c r="E300" s="213" t="str">
        <f>[2]Base!M300</f>
        <v>BTG Pactual</v>
      </c>
      <c r="F300" s="19" t="str">
        <f>[2]Base!F300</f>
        <v>FOLLOW-ON</v>
      </c>
      <c r="G300" s="19" t="str">
        <f>[2]Base!G300</f>
        <v>ICVM 400</v>
      </c>
      <c r="H300" s="20">
        <f>[2]Base!X300</f>
        <v>43013</v>
      </c>
      <c r="I300" s="187">
        <f>[2]Base!W300</f>
        <v>11</v>
      </c>
      <c r="J300" s="188">
        <f>[2]Base!J300</f>
        <v>43014</v>
      </c>
      <c r="K300" s="189">
        <f>'[1]SITE (Imprensa)_PT'!K300</f>
        <v>261</v>
      </c>
      <c r="L300" s="189">
        <f>[2]Base!DZ300</f>
        <v>426</v>
      </c>
      <c r="M300" s="190">
        <f>[2]Base!AO300</f>
        <v>834482759</v>
      </c>
      <c r="N300" s="190">
        <f>[2]Base!AP300</f>
        <v>41724133</v>
      </c>
      <c r="O300" s="190">
        <f>[2]Base!AQ300</f>
        <v>876206892</v>
      </c>
      <c r="P300" s="189">
        <f>+[2]Base!ED300</f>
        <v>276860115.01516682</v>
      </c>
      <c r="Q300" s="191">
        <f>'[1]SITE (Imprensa)_PT'!P300</f>
        <v>1.5021861982797551E-2</v>
      </c>
      <c r="R300" s="157">
        <f>'[1]SITE (Imprensa)_PT'!Q300</f>
        <v>0.53518100494466325</v>
      </c>
      <c r="S300" s="157">
        <f>'[1]SITE (Imprensa)_PT'!R300</f>
        <v>0.31226320118924605</v>
      </c>
      <c r="T300" s="158">
        <f>'[1]SITE (Imprensa)_PT'!S300</f>
        <v>0.13753393188329316</v>
      </c>
      <c r="U300" s="1"/>
    </row>
    <row r="301" spans="2:21" ht="13.2" x14ac:dyDescent="0.25">
      <c r="B301" s="40" t="str">
        <f>[2]Base!A301</f>
        <v>VULCABRAS</v>
      </c>
      <c r="C301" s="41" t="str">
        <f>[2]Base!C301</f>
        <v>NM</v>
      </c>
      <c r="D301" s="213" t="s">
        <v>61</v>
      </c>
      <c r="E301" s="213" t="str">
        <f>[2]Base!M301</f>
        <v>Credit Suisse</v>
      </c>
      <c r="F301" s="19" t="str">
        <f>[2]Base!F301</f>
        <v>FOLLOW-ON</v>
      </c>
      <c r="G301" s="19" t="str">
        <f>[2]Base!G301</f>
        <v>ICVM 400</v>
      </c>
      <c r="H301" s="20">
        <f>[2]Base!X301</f>
        <v>43032</v>
      </c>
      <c r="I301" s="187">
        <f>[2]Base!W301</f>
        <v>9.5</v>
      </c>
      <c r="J301" s="188">
        <f>[2]Base!J301</f>
        <v>43033</v>
      </c>
      <c r="K301" s="189">
        <f>'[1]SITE (Imprensa)_PT'!K301</f>
        <v>1030</v>
      </c>
      <c r="L301" s="189">
        <f>[2]Base!DZ301</f>
        <v>1288</v>
      </c>
      <c r="M301" s="190">
        <f>[2]Base!AO301</f>
        <v>574997000</v>
      </c>
      <c r="N301" s="190">
        <f>[2]Base!AP301</f>
        <v>111460431.5</v>
      </c>
      <c r="O301" s="190">
        <f>[2]Base!AQ301</f>
        <v>686457431.5</v>
      </c>
      <c r="P301" s="189">
        <f>+[2]Base!ED301</f>
        <v>211954621.14428627</v>
      </c>
      <c r="Q301" s="191">
        <f>'[1]SITE (Imprensa)_PT'!P301</f>
        <v>0.10086817991179797</v>
      </c>
      <c r="R301" s="157">
        <f>'[1]SITE (Imprensa)_PT'!Q301</f>
        <v>0.64801417078657397</v>
      </c>
      <c r="S301" s="157">
        <f>'[1]SITE (Imprensa)_PT'!R301</f>
        <v>0.24951614707115896</v>
      </c>
      <c r="T301" s="158">
        <f>'[1]SITE (Imprensa)_PT'!S301</f>
        <v>1.6015022304690975E-3</v>
      </c>
      <c r="U301" s="1"/>
    </row>
    <row r="302" spans="2:21" ht="13.2" x14ac:dyDescent="0.25">
      <c r="B302" s="40" t="str">
        <f>[2]Base!A302</f>
        <v>RUMO S.A.</v>
      </c>
      <c r="C302" s="41" t="str">
        <f>[2]Base!C302</f>
        <v>NM</v>
      </c>
      <c r="D302" s="213" t="s">
        <v>137</v>
      </c>
      <c r="E302" s="213" t="str">
        <f>[2]Base!M302</f>
        <v>Bradesco BBI</v>
      </c>
      <c r="F302" s="19" t="str">
        <f>[2]Base!F302</f>
        <v>FOLLOW-ON</v>
      </c>
      <c r="G302" s="19" t="str">
        <f>[2]Base!G302</f>
        <v>ICVM 476</v>
      </c>
      <c r="H302" s="20">
        <f>[2]Base!X302</f>
        <v>43012</v>
      </c>
      <c r="I302" s="187">
        <f>[2]Base!W302</f>
        <v>12</v>
      </c>
      <c r="J302" s="188">
        <f>[2]Base!J302</f>
        <v>43014</v>
      </c>
      <c r="K302" s="189">
        <f>'[1]SITE (Imprensa)_PT'!K302</f>
        <v>0</v>
      </c>
      <c r="L302" s="189">
        <f>[2]Base!DZ302</f>
        <v>76</v>
      </c>
      <c r="M302" s="190">
        <f>[2]Base!AO302</f>
        <v>2640000000</v>
      </c>
      <c r="N302" s="190">
        <f>[2]Base!AP302</f>
        <v>0</v>
      </c>
      <c r="O302" s="190">
        <f>[2]Base!AQ302</f>
        <v>2640000000</v>
      </c>
      <c r="P302" s="189">
        <f>+[2]Base!ED302</f>
        <v>842185855.10575175</v>
      </c>
      <c r="Q302" s="191">
        <f>'[1]SITE (Imprensa)_PT'!P302</f>
        <v>0</v>
      </c>
      <c r="R302" s="157">
        <f>'[1]SITE (Imprensa)_PT'!Q302</f>
        <v>0.17843048636363637</v>
      </c>
      <c r="S302" s="157">
        <f>'[1]SITE (Imprensa)_PT'!R302</f>
        <v>0.23318181818181818</v>
      </c>
      <c r="T302" s="158">
        <f>'[1]SITE (Imprensa)_PT'!S302</f>
        <v>0.5883876954545455</v>
      </c>
      <c r="U302" s="1"/>
    </row>
    <row r="303" spans="2:21" ht="13.2" x14ac:dyDescent="0.25">
      <c r="B303" s="40" t="str">
        <f>[2]Base!A303</f>
        <v>IMC S/A</v>
      </c>
      <c r="C303" s="41" t="str">
        <f>[2]Base!C303</f>
        <v>NM</v>
      </c>
      <c r="D303" s="213" t="s">
        <v>118</v>
      </c>
      <c r="E303" s="213" t="str">
        <f>[2]Base!M303</f>
        <v>BTG Pactual</v>
      </c>
      <c r="F303" s="19" t="str">
        <f>[2]Base!F303</f>
        <v>FOLLOW-ON</v>
      </c>
      <c r="G303" s="19" t="str">
        <f>[2]Base!G303</f>
        <v>ICVM 476</v>
      </c>
      <c r="H303" s="20">
        <f>[2]Base!X303</f>
        <v>43048</v>
      </c>
      <c r="I303" s="187">
        <f>[2]Base!W303</f>
        <v>8</v>
      </c>
      <c r="J303" s="188">
        <f>[2]Base!J303</f>
        <v>43052</v>
      </c>
      <c r="K303" s="189">
        <f>'[1]SITE (Imprensa)_PT'!K303</f>
        <v>0</v>
      </c>
      <c r="L303" s="189">
        <f>[2]Base!DZ303</f>
        <v>141</v>
      </c>
      <c r="M303" s="190">
        <f>[2]Base!AO303</f>
        <v>0</v>
      </c>
      <c r="N303" s="190">
        <f>[2]Base!AP303</f>
        <v>444592648</v>
      </c>
      <c r="O303" s="190">
        <f>[2]Base!AQ303</f>
        <v>444592648</v>
      </c>
      <c r="P303" s="189">
        <f>+[2]Base!ED303</f>
        <v>136600192.95173132</v>
      </c>
      <c r="Q303" s="191">
        <f>'[1]SITE (Imprensa)_PT'!P303</f>
        <v>8.9790058786577148E-5</v>
      </c>
      <c r="R303" s="157">
        <f>'[1]SITE (Imprensa)_PT'!Q303</f>
        <v>0.59937971803798251</v>
      </c>
      <c r="S303" s="157">
        <f>'[1]SITE (Imprensa)_PT'!R303</f>
        <v>0.40053049190323092</v>
      </c>
      <c r="T303" s="158">
        <f>'[1]SITE (Imprensa)_PT'!S303</f>
        <v>0</v>
      </c>
      <c r="U303" s="1"/>
    </row>
    <row r="304" spans="2:21" ht="13.2" x14ac:dyDescent="0.25">
      <c r="B304" s="40" t="str">
        <f>[2]Base!A304</f>
        <v>BK BRASIL</v>
      </c>
      <c r="C304" s="41" t="str">
        <f>[2]Base!C304</f>
        <v>NM</v>
      </c>
      <c r="D304" s="213" t="s">
        <v>118</v>
      </c>
      <c r="E304" s="213" t="str">
        <f>[2]Base!M304</f>
        <v>Itaú BBA</v>
      </c>
      <c r="F304" s="19" t="str">
        <f>[2]Base!F304</f>
        <v>IPO</v>
      </c>
      <c r="G304" s="19" t="str">
        <f>[2]Base!G304</f>
        <v>ICVM 400</v>
      </c>
      <c r="H304" s="20">
        <f>[2]Base!X304</f>
        <v>43083</v>
      </c>
      <c r="I304" s="187">
        <f>[2]Base!W304</f>
        <v>18</v>
      </c>
      <c r="J304" s="188">
        <f>[2]Base!J304</f>
        <v>43087</v>
      </c>
      <c r="K304" s="189">
        <f>'[1]SITE (Imprensa)_PT'!K304</f>
        <v>3281</v>
      </c>
      <c r="L304" s="189">
        <f>[2]Base!DZ304</f>
        <v>3672</v>
      </c>
      <c r="M304" s="190">
        <f>[2]Base!AO304</f>
        <v>886153842</v>
      </c>
      <c r="N304" s="190">
        <f>[2]Base!AP304</f>
        <v>1096968060</v>
      </c>
      <c r="O304" s="190">
        <f>[2]Base!AQ304</f>
        <v>1983121902</v>
      </c>
      <c r="P304" s="189">
        <f>+[2]Base!ED304</f>
        <v>603120921.50482047</v>
      </c>
      <c r="Q304" s="191">
        <f>'[1]SITE (Imprensa)_PT'!P304</f>
        <v>9.6651416517531591E-2</v>
      </c>
      <c r="R304" s="157">
        <f>'[1]SITE (Imprensa)_PT'!Q304</f>
        <v>0.13584876249517025</v>
      </c>
      <c r="S304" s="157">
        <f>'[1]SITE (Imprensa)_PT'!R304</f>
        <v>0.76333477716099751</v>
      </c>
      <c r="T304" s="158">
        <f>'[1]SITE (Imprensa)_PT'!S304</f>
        <v>4.1650438263006184E-3</v>
      </c>
      <c r="U304" s="1"/>
    </row>
    <row r="305" spans="2:21" ht="13.2" x14ac:dyDescent="0.25">
      <c r="B305" s="40" t="str">
        <f>[2]Base!A305</f>
        <v>LE LIS BLANC</v>
      </c>
      <c r="C305" s="41" t="str">
        <f>[2]Base!C305</f>
        <v>NM</v>
      </c>
      <c r="D305" s="213" t="s">
        <v>138</v>
      </c>
      <c r="E305" s="213" t="str">
        <f>[2]Base!M305</f>
        <v>BTG Pactual</v>
      </c>
      <c r="F305" s="19" t="str">
        <f>[2]Base!F305</f>
        <v>FOLLOW-ON</v>
      </c>
      <c r="G305" s="19" t="str">
        <f>[2]Base!G305</f>
        <v>ICVM 476</v>
      </c>
      <c r="H305" s="20">
        <f>[2]Base!X305</f>
        <v>43069</v>
      </c>
      <c r="I305" s="187">
        <f>[2]Base!W305</f>
        <v>30</v>
      </c>
      <c r="J305" s="188">
        <f>[2]Base!J305</f>
        <v>43073</v>
      </c>
      <c r="K305" s="189">
        <f>'[1]SITE (Imprensa)_PT'!K305</f>
        <v>1</v>
      </c>
      <c r="L305" s="189">
        <f>[2]Base!DZ305</f>
        <v>40</v>
      </c>
      <c r="M305" s="190">
        <f>[2]Base!AO305</f>
        <v>148140000</v>
      </c>
      <c r="N305" s="190">
        <f>[2]Base!AP305</f>
        <v>0</v>
      </c>
      <c r="O305" s="190">
        <f>[2]Base!AQ305</f>
        <v>148140000</v>
      </c>
      <c r="P305" s="189">
        <f>+[2]Base!ED305</f>
        <v>45573124.961545564</v>
      </c>
      <c r="Q305" s="191">
        <f>'[1]SITE (Imprensa)_PT'!P305</f>
        <v>0.30544673957067636</v>
      </c>
      <c r="R305" s="157">
        <f>'[1]SITE (Imprensa)_PT'!Q305</f>
        <v>0</v>
      </c>
      <c r="S305" s="157">
        <f>'[1]SITE (Imprensa)_PT'!R305</f>
        <v>6.0153908464965575E-3</v>
      </c>
      <c r="T305" s="158">
        <f>'[1]SITE (Imprensa)_PT'!S305</f>
        <v>0.68853786958282703</v>
      </c>
      <c r="U305" s="1"/>
    </row>
    <row r="306" spans="2:21" ht="13.2" x14ac:dyDescent="0.25">
      <c r="B306" s="40" t="str">
        <f>[2]Base!A306</f>
        <v>PETROBRAS BR</v>
      </c>
      <c r="C306" s="41" t="str">
        <f>[2]Base!C306</f>
        <v>NM</v>
      </c>
      <c r="D306" s="213" t="s">
        <v>139</v>
      </c>
      <c r="E306" s="213" t="str">
        <f>[2]Base!M306</f>
        <v>Citi</v>
      </c>
      <c r="F306" s="19" t="str">
        <f>[2]Base!F306</f>
        <v>IPO</v>
      </c>
      <c r="G306" s="19" t="str">
        <f>[2]Base!G306</f>
        <v>ICVM 400</v>
      </c>
      <c r="H306" s="20">
        <f>[2]Base!X306</f>
        <v>43082</v>
      </c>
      <c r="I306" s="187">
        <f>[2]Base!W306</f>
        <v>15</v>
      </c>
      <c r="J306" s="188">
        <f>[2]Base!J306</f>
        <v>43084</v>
      </c>
      <c r="K306" s="189">
        <f>'[1]SITE (Imprensa)_PT'!K306</f>
        <v>6808</v>
      </c>
      <c r="L306" s="189">
        <f>[2]Base!DZ306</f>
        <v>7658</v>
      </c>
      <c r="M306" s="190">
        <f>[2]Base!AO306</f>
        <v>655312500</v>
      </c>
      <c r="N306" s="190">
        <f>[2]Base!AP306</f>
        <v>4368750000</v>
      </c>
      <c r="O306" s="190">
        <f>[2]Base!AQ306</f>
        <v>5024062500</v>
      </c>
      <c r="P306" s="189">
        <f>+[2]Base!ED306</f>
        <v>1514092730.9987342</v>
      </c>
      <c r="Q306" s="191">
        <f>'[1]SITE (Imprensa)_PT'!P306</f>
        <v>9.8186664676245566E-2</v>
      </c>
      <c r="R306" s="157">
        <f>'[1]SITE (Imprensa)_PT'!Q306</f>
        <v>0.24114632132860608</v>
      </c>
      <c r="S306" s="157">
        <f>'[1]SITE (Imprensa)_PT'!R306</f>
        <v>0.65514977869005409</v>
      </c>
      <c r="T306" s="158">
        <f>'[1]SITE (Imprensa)_PT'!S306</f>
        <v>5.5172353050942343E-3</v>
      </c>
      <c r="U306" s="1"/>
    </row>
    <row r="307" spans="2:21" ht="13.8" thickBot="1" x14ac:dyDescent="0.3">
      <c r="B307" s="61" t="str">
        <f>[2]Base!A307</f>
        <v>SANEPAR</v>
      </c>
      <c r="C307" s="62" t="str">
        <f>[2]Base!C307</f>
        <v>N2</v>
      </c>
      <c r="D307" s="215" t="s">
        <v>62</v>
      </c>
      <c r="E307" s="215" t="str">
        <f>[2]Base!M307</f>
        <v>Itaú BBA</v>
      </c>
      <c r="F307" s="31" t="str">
        <f>[2]Base!F307</f>
        <v>FOLLOW-ON</v>
      </c>
      <c r="G307" s="31" t="str">
        <f>[2]Base!G307</f>
        <v>ICVM 476</v>
      </c>
      <c r="H307" s="32">
        <f>[2]Base!X307</f>
        <v>43081</v>
      </c>
      <c r="I307" s="253">
        <f>[2]Base!W307</f>
        <v>55.2</v>
      </c>
      <c r="J307" s="254">
        <f>[2]Base!J307</f>
        <v>43083</v>
      </c>
      <c r="K307" s="255">
        <f>'[1]SITE (Imprensa)_PT'!K307</f>
        <v>0</v>
      </c>
      <c r="L307" s="255">
        <f>[2]Base!DZ307</f>
        <v>56</v>
      </c>
      <c r="M307" s="256">
        <f>[2]Base!AO307</f>
        <v>0</v>
      </c>
      <c r="N307" s="256">
        <f>[2]Base!AP307</f>
        <v>1040308970.4</v>
      </c>
      <c r="O307" s="256">
        <f>[2]Base!AQ307</f>
        <v>1040308970.4</v>
      </c>
      <c r="P307" s="255">
        <f>+[2]Base!ED307</f>
        <v>312105175.32701308</v>
      </c>
      <c r="Q307" s="257">
        <f>'[1]SITE (Imprensa)_PT'!P307</f>
        <v>0</v>
      </c>
      <c r="R307" s="159">
        <f>'[1]SITE (Imprensa)_PT'!Q307</f>
        <v>0.4277353969454919</v>
      </c>
      <c r="S307" s="159">
        <f>'[1]SITE (Imprensa)_PT'!R307</f>
        <v>0.57226460305450799</v>
      </c>
      <c r="T307" s="160">
        <f>'[1]SITE (Imprensa)_PT'!S307</f>
        <v>0</v>
      </c>
      <c r="U307" s="1"/>
    </row>
    <row r="308" spans="2:21" ht="13.8" thickTop="1" x14ac:dyDescent="0.25">
      <c r="B308" s="106" t="str">
        <f>[2]Base!A308</f>
        <v>INTERMEDICA</v>
      </c>
      <c r="C308" s="107" t="str">
        <f>[2]Base!C308</f>
        <v>NM</v>
      </c>
      <c r="D308" s="245" t="s">
        <v>131</v>
      </c>
      <c r="E308" s="245" t="str">
        <f>[2]Base!M308</f>
        <v>Itaú BBA</v>
      </c>
      <c r="F308" s="107" t="str">
        <f>[2]Base!F308</f>
        <v>IPO</v>
      </c>
      <c r="G308" s="107" t="str">
        <f>[2]Base!G308</f>
        <v>ICVM 400</v>
      </c>
      <c r="H308" s="108">
        <f>[2]Base!X308</f>
        <v>43209</v>
      </c>
      <c r="I308" s="246">
        <f>[2]Base!W308</f>
        <v>16.5</v>
      </c>
      <c r="J308" s="247">
        <f>[2]Base!J308</f>
        <v>43213</v>
      </c>
      <c r="K308" s="248">
        <f>'[1]SITE (Imprensa)_PT'!K308</f>
        <v>1375</v>
      </c>
      <c r="L308" s="248">
        <f>[2]Base!DZ308</f>
        <v>1838</v>
      </c>
      <c r="M308" s="249">
        <f>[2]Base!AO308</f>
        <v>341379307.5</v>
      </c>
      <c r="N308" s="249">
        <f>[2]Base!AP308</f>
        <v>2377736641.5</v>
      </c>
      <c r="O308" s="249">
        <f>[2]Base!AQ308</f>
        <v>2719115949</v>
      </c>
      <c r="P308" s="248">
        <f>+[2]Base!ED308</f>
        <v>789958440.77743244</v>
      </c>
      <c r="Q308" s="250">
        <f>'[1]SITE (Imprensa)_PT'!P308</f>
        <v>8.6834953502749654E-2</v>
      </c>
      <c r="R308" s="251">
        <f>'[1]SITE (Imprensa)_PT'!Q308</f>
        <v>0.21468036153981604</v>
      </c>
      <c r="S308" s="251">
        <f>'[1]SITE (Imprensa)_PT'!R308</f>
        <v>0.69621169600958421</v>
      </c>
      <c r="T308" s="252">
        <f>'[1]SITE (Imprensa)_PT'!S308</f>
        <v>2.2729889478501236E-3</v>
      </c>
      <c r="U308" s="1"/>
    </row>
    <row r="309" spans="2:21" ht="13.2" x14ac:dyDescent="0.25">
      <c r="B309" s="40" t="str">
        <f>[2]Base!A309</f>
        <v>HAPVIDA</v>
      </c>
      <c r="C309" s="41" t="str">
        <f>[2]Base!C309</f>
        <v>NM</v>
      </c>
      <c r="D309" s="213" t="s">
        <v>131</v>
      </c>
      <c r="E309" s="213" t="str">
        <f>[2]Base!M309</f>
        <v>BTG Pactual</v>
      </c>
      <c r="F309" s="19" t="str">
        <f>[2]Base!F309</f>
        <v>IPO</v>
      </c>
      <c r="G309" s="19" t="str">
        <f>[2]Base!G309</f>
        <v>ICVM 400</v>
      </c>
      <c r="H309" s="20">
        <f>[2]Base!X309</f>
        <v>43213</v>
      </c>
      <c r="I309" s="187">
        <f>[2]Base!W309</f>
        <v>23.5</v>
      </c>
      <c r="J309" s="188">
        <f>[2]Base!J309</f>
        <v>43215</v>
      </c>
      <c r="K309" s="189">
        <f>'[1]SITE (Imprensa)_PT'!K309</f>
        <v>4374</v>
      </c>
      <c r="L309" s="189">
        <f>[2]Base!DZ309</f>
        <v>5099</v>
      </c>
      <c r="M309" s="190">
        <f>[2]Base!AO309</f>
        <v>2631026465.5</v>
      </c>
      <c r="N309" s="190">
        <f>[2]Base!AP309</f>
        <v>800747178</v>
      </c>
      <c r="O309" s="190">
        <f>[2]Base!AQ309</f>
        <v>3431773643.5</v>
      </c>
      <c r="P309" s="189">
        <f>+[2]Base!ED309</f>
        <v>979387455.33675802</v>
      </c>
      <c r="Q309" s="191">
        <f>'[1]SITE (Imprensa)_PT'!P309</f>
        <v>9.7468953593005239E-2</v>
      </c>
      <c r="R309" s="157">
        <f>'[1]SITE (Imprensa)_PT'!Q309</f>
        <v>0.43505761964454576</v>
      </c>
      <c r="S309" s="157">
        <f>'[1]SITE (Imprensa)_PT'!R309</f>
        <v>0.46448551145532452</v>
      </c>
      <c r="T309" s="158">
        <f>'[1]SITE (Imprensa)_PT'!S309</f>
        <v>2.9879153071244806E-3</v>
      </c>
      <c r="U309" s="1"/>
    </row>
    <row r="310" spans="2:21" ht="13.2" x14ac:dyDescent="0.25">
      <c r="B310" s="40" t="str">
        <f>[2]Base!A310</f>
        <v>INTER BANCO</v>
      </c>
      <c r="C310" s="41" t="str">
        <f>[2]Base!C310</f>
        <v>N1</v>
      </c>
      <c r="D310" s="213" t="s">
        <v>67</v>
      </c>
      <c r="E310" s="223" t="str">
        <f>[2]Base!M310</f>
        <v>Bradesco BBI</v>
      </c>
      <c r="F310" s="52" t="str">
        <f>[2]Base!F310</f>
        <v>IPO</v>
      </c>
      <c r="G310" s="52" t="str">
        <f>[2]Base!G310</f>
        <v>ICVM 400</v>
      </c>
      <c r="H310" s="53">
        <f>[2]Base!X310</f>
        <v>43216</v>
      </c>
      <c r="I310" s="198">
        <f>[2]Base!W310</f>
        <v>18.5</v>
      </c>
      <c r="J310" s="227">
        <f>[2]Base!J310</f>
        <v>43220</v>
      </c>
      <c r="K310" s="258">
        <f>'[1]SITE (Imprensa)_PT'!K310</f>
        <v>8387</v>
      </c>
      <c r="L310" s="258">
        <f>[2]Base!DZ310</f>
        <v>8605</v>
      </c>
      <c r="M310" s="259">
        <f>[2]Base!AO310</f>
        <v>541463439</v>
      </c>
      <c r="N310" s="259">
        <f>[2]Base!AP310</f>
        <v>130991063</v>
      </c>
      <c r="O310" s="259">
        <f>[2]Base!AQ310</f>
        <v>672454502</v>
      </c>
      <c r="P310" s="258">
        <f>+[2]Base!ED310</f>
        <v>193172991.8703858</v>
      </c>
      <c r="Q310" s="260">
        <f>'[1]SITE (Imprensa)_PT'!P310</f>
        <v>0.11714129972864151</v>
      </c>
      <c r="R310" s="210">
        <f>'[1]SITE (Imprensa)_PT'!Q310</f>
        <v>0.27988361740523721</v>
      </c>
      <c r="S310" s="210">
        <f>'[1]SITE (Imprensa)_PT'!R310</f>
        <v>0.60297508286612123</v>
      </c>
      <c r="T310" s="212">
        <f>'[1]SITE (Imprensa)_PT'!S310</f>
        <v>0</v>
      </c>
      <c r="U310" s="1"/>
    </row>
    <row r="311" spans="2:21" ht="13.2" x14ac:dyDescent="0.25">
      <c r="B311" s="40" t="str">
        <f>[2]Base!A311</f>
        <v>INTERMEDICA</v>
      </c>
      <c r="C311" s="41" t="str">
        <f>[2]Base!C311</f>
        <v>NM</v>
      </c>
      <c r="D311" s="213" t="s">
        <v>131</v>
      </c>
      <c r="E311" s="213" t="str">
        <f>[2]Base!M311</f>
        <v>Itaú BBA</v>
      </c>
      <c r="F311" s="19" t="str">
        <f>[2]Base!F311</f>
        <v>FOLLOW-ON</v>
      </c>
      <c r="G311" s="19" t="str">
        <f>[2]Base!G311</f>
        <v>ICVM 476</v>
      </c>
      <c r="H311" s="20">
        <f>[2]Base!X311</f>
        <v>43439</v>
      </c>
      <c r="I311" s="187">
        <f>[2]Base!W311</f>
        <v>26</v>
      </c>
      <c r="J311" s="188">
        <f>[2]Base!J311</f>
        <v>43441</v>
      </c>
      <c r="K311" s="189">
        <f>'[1]SITE (Imprensa)_PT'!K311</f>
        <v>15</v>
      </c>
      <c r="L311" s="189">
        <f>[2]Base!DZ311</f>
        <v>337</v>
      </c>
      <c r="M311" s="190">
        <f>[2]Base!AO311</f>
        <v>312000000</v>
      </c>
      <c r="N311" s="190">
        <f>[2]Base!AP311</f>
        <v>2741700000</v>
      </c>
      <c r="O311" s="190">
        <f>[2]Base!AQ311</f>
        <v>3053700000</v>
      </c>
      <c r="P311" s="189">
        <f>+[2]Base!ED311</f>
        <v>783723437.01878655</v>
      </c>
      <c r="Q311" s="191">
        <f>'[1]SITE (Imprensa)_PT'!P311</f>
        <v>7.3839080459770119E-4</v>
      </c>
      <c r="R311" s="157">
        <f>'[1]SITE (Imprensa)_PT'!Q311</f>
        <v>0.27355475521498512</v>
      </c>
      <c r="S311" s="157">
        <f>'[1]SITE (Imprensa)_PT'!R311</f>
        <v>0.72570685398041723</v>
      </c>
      <c r="T311" s="158">
        <f>'[1]SITE (Imprensa)_PT'!S311</f>
        <v>0</v>
      </c>
      <c r="U311" s="1"/>
    </row>
    <row r="312" spans="2:21" ht="13.8" thickBot="1" x14ac:dyDescent="0.3">
      <c r="B312" s="61" t="str">
        <f>[2]Base!A312</f>
        <v>LOCAMERICA</v>
      </c>
      <c r="C312" s="62" t="str">
        <f>[2]Base!C312</f>
        <v>NM</v>
      </c>
      <c r="D312" s="62" t="s">
        <v>71</v>
      </c>
      <c r="E312" s="62" t="str">
        <f>[2]Base!M312</f>
        <v>Itaú BBA</v>
      </c>
      <c r="F312" s="31" t="str">
        <f>[2]Base!F312</f>
        <v>FOLLOW-ON</v>
      </c>
      <c r="G312" s="31" t="str">
        <f>[2]Base!G312</f>
        <v>ICVM 476</v>
      </c>
      <c r="H312" s="32">
        <f>[2]Base!X312</f>
        <v>43447</v>
      </c>
      <c r="I312" s="253">
        <f>[2]Base!W312</f>
        <v>32</v>
      </c>
      <c r="J312" s="254">
        <f>[2]Base!J312</f>
        <v>43451</v>
      </c>
      <c r="K312" s="255">
        <f>'[1]SITE (Imprensa)_PT'!K312</f>
        <v>40</v>
      </c>
      <c r="L312" s="255">
        <f>[2]Base!DZ312</f>
        <v>337</v>
      </c>
      <c r="M312" s="256">
        <f>[2]Base!AO312</f>
        <v>992000000</v>
      </c>
      <c r="N312" s="256">
        <f>[2]Base!AP312</f>
        <v>384000000</v>
      </c>
      <c r="O312" s="256">
        <f>[2]Base!AQ312</f>
        <v>1376000000</v>
      </c>
      <c r="P312" s="255">
        <f>+[2]Base!ED312</f>
        <v>356209065.72782111</v>
      </c>
      <c r="Q312" s="257">
        <f>'[1]SITE (Imprensa)_PT'!P312</f>
        <v>1.4323720930232559E-3</v>
      </c>
      <c r="R312" s="159">
        <f>'[1]SITE (Imprensa)_PT'!Q312</f>
        <v>0.59577132558139534</v>
      </c>
      <c r="S312" s="159">
        <f>'[1]SITE (Imprensa)_PT'!R312</f>
        <v>0.40048467441860464</v>
      </c>
      <c r="T312" s="160">
        <f>'[1]SITE (Imprensa)_PT'!S312</f>
        <v>2.3116279069767443E-3</v>
      </c>
      <c r="U312" s="1"/>
    </row>
    <row r="313" spans="2:21" ht="13.8" thickTop="1" x14ac:dyDescent="0.25">
      <c r="B313" s="106" t="str">
        <f>[2]Base!A313</f>
        <v>LOCALIZA</v>
      </c>
      <c r="C313" s="107" t="str">
        <f>[2]Base!C313</f>
        <v>NM</v>
      </c>
      <c r="D313" s="245" t="s">
        <v>71</v>
      </c>
      <c r="E313" s="245" t="str">
        <f>[2]Base!M313</f>
        <v>BTG Pactual</v>
      </c>
      <c r="F313" s="107" t="str">
        <f>[2]Base!F313</f>
        <v>FOLLOW-ON</v>
      </c>
      <c r="G313" s="107" t="str">
        <f>[2]Base!G313</f>
        <v>ICVM 476</v>
      </c>
      <c r="H313" s="108">
        <f>[2]Base!X313</f>
        <v>43496</v>
      </c>
      <c r="I313" s="246">
        <f>[2]Base!W313</f>
        <v>33</v>
      </c>
      <c r="J313" s="247">
        <f>[2]Base!J313</f>
        <v>43500</v>
      </c>
      <c r="K313" s="248">
        <f>'[1]SITE (Imprensa)_PT'!K313</f>
        <v>116</v>
      </c>
      <c r="L313" s="248">
        <f>[2]Base!DZ313</f>
        <v>906</v>
      </c>
      <c r="M313" s="249">
        <f>[2]Base!AO313</f>
        <v>1821600000</v>
      </c>
      <c r="N313" s="249">
        <f>[2]Base!AP313</f>
        <v>0</v>
      </c>
      <c r="O313" s="249">
        <f>[2]Base!AQ313</f>
        <v>1821600000</v>
      </c>
      <c r="P313" s="248">
        <f>+[2]Base!ED313</f>
        <v>495592556.3173359</v>
      </c>
      <c r="Q313" s="250">
        <f>'[1]SITE (Imprensa)_PT'!P313</f>
        <v>1.4706340579710145E-3</v>
      </c>
      <c r="R313" s="251">
        <f>'[1]SITE (Imprensa)_PT'!Q313</f>
        <v>0.53825666666666672</v>
      </c>
      <c r="S313" s="251">
        <f>'[1]SITE (Imprensa)_PT'!R313</f>
        <v>0.45991653985507247</v>
      </c>
      <c r="T313" s="252">
        <f>'[1]SITE (Imprensa)_PT'!S313</f>
        <v>3.5615942028985505E-4</v>
      </c>
      <c r="U313" s="1"/>
    </row>
    <row r="314" spans="2:21" ht="13.2" x14ac:dyDescent="0.25">
      <c r="B314" s="40" t="str">
        <f>[2]Base!A314</f>
        <v>IRBBRASIL RE</v>
      </c>
      <c r="C314" s="41" t="str">
        <f>[2]Base!C314</f>
        <v>NM</v>
      </c>
      <c r="D314" s="213" t="s">
        <v>64</v>
      </c>
      <c r="E314" s="223" t="str">
        <f>[2]Base!M314</f>
        <v>Caixa</v>
      </c>
      <c r="F314" s="52" t="str">
        <f>[2]Base!F314</f>
        <v>FOLLOW-ON</v>
      </c>
      <c r="G314" s="52" t="str">
        <f>[2]Base!G314</f>
        <v>ICVM 476</v>
      </c>
      <c r="H314" s="53">
        <f>[2]Base!X314</f>
        <v>43522</v>
      </c>
      <c r="I314" s="198">
        <f>[2]Base!W314</f>
        <v>91</v>
      </c>
      <c r="J314" s="227">
        <f>[2]Base!J314</f>
        <v>43524</v>
      </c>
      <c r="K314" s="258">
        <f>'[1]SITE (Imprensa)_PT'!K314</f>
        <v>0</v>
      </c>
      <c r="L314" s="258">
        <f>[2]Base!DZ314</f>
        <v>64</v>
      </c>
      <c r="M314" s="259">
        <f>[2]Base!AO314</f>
        <v>0</v>
      </c>
      <c r="N314" s="259">
        <f>[2]Base!AP314</f>
        <v>2516733128</v>
      </c>
      <c r="O314" s="259">
        <f>[2]Base!AQ314</f>
        <v>2516733128</v>
      </c>
      <c r="P314" s="258">
        <f>+[2]Base!ED314</f>
        <v>677360551.20441389</v>
      </c>
      <c r="Q314" s="260">
        <f>'[1]SITE (Imprensa)_PT'!P314</f>
        <v>2.0610051746416236E-4</v>
      </c>
      <c r="R314" s="210">
        <f>'[1]SITE (Imprensa)_PT'!Q314</f>
        <v>0.3046964016440602</v>
      </c>
      <c r="S314" s="210">
        <f>'[1]SITE (Imprensa)_PT'!R314</f>
        <v>0.69509749783847563</v>
      </c>
      <c r="T314" s="212">
        <f>'[1]SITE (Imprensa)_PT'!S314</f>
        <v>0</v>
      </c>
      <c r="U314" s="1"/>
    </row>
    <row r="315" spans="2:21" ht="13.2" x14ac:dyDescent="0.25">
      <c r="B315" s="40" t="str">
        <f>[2]Base!A315</f>
        <v>BK BRASIL</v>
      </c>
      <c r="C315" s="41" t="str">
        <f>[2]Base!C315</f>
        <v>NM</v>
      </c>
      <c r="D315" s="213" t="s">
        <v>118</v>
      </c>
      <c r="E315" s="223" t="str">
        <f>[2]Base!M315</f>
        <v>Itaú BBA</v>
      </c>
      <c r="F315" s="52" t="str">
        <f>[2]Base!F315</f>
        <v>FOLLOW-ON</v>
      </c>
      <c r="G315" s="52" t="str">
        <f>[2]Base!G315</f>
        <v>ICVM 476</v>
      </c>
      <c r="H315" s="53">
        <f>[2]Base!X315</f>
        <v>43546</v>
      </c>
      <c r="I315" s="198">
        <f>[2]Base!W315</f>
        <v>21.41</v>
      </c>
      <c r="J315" s="227">
        <f>[2]Base!J315</f>
        <v>43549</v>
      </c>
      <c r="K315" s="258">
        <f>'[1]SITE (Imprensa)_PT'!K315</f>
        <v>0</v>
      </c>
      <c r="L315" s="258">
        <f>[2]Base!DZ315</f>
        <v>118</v>
      </c>
      <c r="M315" s="259">
        <f>[2]Base!AO315</f>
        <v>0</v>
      </c>
      <c r="N315" s="259">
        <f>[2]Base!AP315</f>
        <v>714529225.61000001</v>
      </c>
      <c r="O315" s="259">
        <f>[2]Base!AQ315</f>
        <v>714529225.61000001</v>
      </c>
      <c r="P315" s="258">
        <f>+[2]Base!ED315</f>
        <v>184299516.53598145</v>
      </c>
      <c r="Q315" s="260">
        <f>'[1]SITE (Imprensa)_PT'!P315</f>
        <v>0</v>
      </c>
      <c r="R315" s="210">
        <f>'[1]SITE (Imprensa)_PT'!Q315</f>
        <v>0.15702803121063788</v>
      </c>
      <c r="S315" s="210">
        <f>'[1]SITE (Imprensa)_PT'!R315</f>
        <v>0.82899386314718448</v>
      </c>
      <c r="T315" s="212">
        <f>'[1]SITE (Imprensa)_PT'!S315</f>
        <v>1.3978105642177694E-2</v>
      </c>
      <c r="U315" s="1"/>
    </row>
    <row r="316" spans="2:21" ht="13.2" x14ac:dyDescent="0.25">
      <c r="B316" s="40" t="str">
        <f>[2]Base!A316</f>
        <v>ENEVA</v>
      </c>
      <c r="C316" s="41" t="str">
        <f>[2]Base!C316</f>
        <v>NM</v>
      </c>
      <c r="D316" s="213" t="s">
        <v>126</v>
      </c>
      <c r="E316" s="223" t="str">
        <f>[2]Base!M316</f>
        <v>Itaú BBA</v>
      </c>
      <c r="F316" s="52" t="str">
        <f>[2]Base!F316</f>
        <v>FOLLOW-ON</v>
      </c>
      <c r="G316" s="52" t="str">
        <f>[2]Base!G316</f>
        <v>ICVM 476</v>
      </c>
      <c r="H316" s="53">
        <f>[2]Base!X316</f>
        <v>43559</v>
      </c>
      <c r="I316" s="198">
        <f>[2]Base!W316</f>
        <v>18.25</v>
      </c>
      <c r="J316" s="227">
        <f>[2]Base!J316</f>
        <v>43563</v>
      </c>
      <c r="K316" s="258">
        <f>'[1]SITE (Imprensa)_PT'!K316</f>
        <v>0</v>
      </c>
      <c r="L316" s="258">
        <f>[2]Base!DZ316</f>
        <v>258</v>
      </c>
      <c r="M316" s="259">
        <f>[2]Base!AO316</f>
        <v>0</v>
      </c>
      <c r="N316" s="259">
        <f>[2]Base!AP316</f>
        <v>1106794409.25</v>
      </c>
      <c r="O316" s="259">
        <f>[2]Base!AQ316</f>
        <v>1106794409.25</v>
      </c>
      <c r="P316" s="258">
        <f>+[2]Base!ED316</f>
        <v>286304105.03647369</v>
      </c>
      <c r="Q316" s="260">
        <f>'[1]SITE (Imprensa)_PT'!P316</f>
        <v>0</v>
      </c>
      <c r="R316" s="210">
        <f>'[1]SITE (Imprensa)_PT'!Q316</f>
        <v>0.6699587075999679</v>
      </c>
      <c r="S316" s="210">
        <f>'[1]SITE (Imprensa)_PT'!R316</f>
        <v>0.32134911712375908</v>
      </c>
      <c r="T316" s="212">
        <f>'[1]SITE (Imprensa)_PT'!S316</f>
        <v>8.6921752762729732E-3</v>
      </c>
      <c r="U316" s="1"/>
    </row>
    <row r="317" spans="2:21" ht="13.2" x14ac:dyDescent="0.25">
      <c r="B317" s="40" t="str">
        <f>[2]Base!A317</f>
        <v>CENTAURO</v>
      </c>
      <c r="C317" s="41" t="str">
        <f>[2]Base!C317</f>
        <v>NM</v>
      </c>
      <c r="D317" s="213" t="s">
        <v>140</v>
      </c>
      <c r="E317" s="223" t="str">
        <f>[2]Base!M317</f>
        <v>Bradesco BBI</v>
      </c>
      <c r="F317" s="52" t="str">
        <f>[2]Base!F317</f>
        <v>IPO</v>
      </c>
      <c r="G317" s="52" t="str">
        <f>[2]Base!G317</f>
        <v>ICVM 400</v>
      </c>
      <c r="H317" s="53">
        <f>[2]Base!X317</f>
        <v>43570</v>
      </c>
      <c r="I317" s="198">
        <f>[2]Base!W317</f>
        <v>12.5</v>
      </c>
      <c r="J317" s="227">
        <f>[2]Base!J317</f>
        <v>43572</v>
      </c>
      <c r="K317" s="258">
        <f>'[1]SITE (Imprensa)_PT'!K317</f>
        <v>3368</v>
      </c>
      <c r="L317" s="258">
        <f>[2]Base!DZ317</f>
        <v>3582</v>
      </c>
      <c r="M317" s="259">
        <f>[2]Base!AO317</f>
        <v>705101362.5</v>
      </c>
      <c r="N317" s="259">
        <f>[2]Base!AP317</f>
        <v>0</v>
      </c>
      <c r="O317" s="259">
        <f>[2]Base!AQ317</f>
        <v>705101362.5</v>
      </c>
      <c r="P317" s="258">
        <f>+[2]Base!ED317</f>
        <v>179758154.87571701</v>
      </c>
      <c r="Q317" s="260">
        <f>'[1]SITE (Imprensa)_PT'!P317</f>
        <v>9.6976311194838974E-2</v>
      </c>
      <c r="R317" s="210">
        <f>'[1]SITE (Imprensa)_PT'!Q317</f>
        <v>0.50313528398821172</v>
      </c>
      <c r="S317" s="210">
        <f>'[1]SITE (Imprensa)_PT'!R317</f>
        <v>0.39571931949924294</v>
      </c>
      <c r="T317" s="212">
        <f>'[1]SITE (Imprensa)_PT'!S317</f>
        <v>4.169085317706339E-3</v>
      </c>
      <c r="U317" s="1"/>
    </row>
    <row r="318" spans="2:21" ht="13.2" x14ac:dyDescent="0.25">
      <c r="B318" s="40" t="str">
        <f>[2]Base!A318</f>
        <v>TOTVS</v>
      </c>
      <c r="C318" s="41" t="str">
        <f>[2]Base!C318</f>
        <v>NM</v>
      </c>
      <c r="D318" s="213" t="s">
        <v>141</v>
      </c>
      <c r="E318" s="223" t="str">
        <f>[2]Base!M318</f>
        <v>BTG Pactual</v>
      </c>
      <c r="F318" s="52" t="str">
        <f>[2]Base!F318</f>
        <v>FOLLOW-ON</v>
      </c>
      <c r="G318" s="52" t="str">
        <f>[2]Base!G318</f>
        <v>ICVM 476</v>
      </c>
      <c r="H318" s="53">
        <f>[2]Base!X318</f>
        <v>43607</v>
      </c>
      <c r="I318" s="198">
        <f>[2]Base!W318</f>
        <v>39.5</v>
      </c>
      <c r="J318" s="227">
        <f>[2]Base!J318</f>
        <v>43609</v>
      </c>
      <c r="K318" s="258">
        <f>'[1]SITE (Imprensa)_PT'!K318</f>
        <v>0</v>
      </c>
      <c r="L318" s="258">
        <f>[2]Base!DZ318</f>
        <v>172</v>
      </c>
      <c r="M318" s="259">
        <f>[2]Base!AO318</f>
        <v>1066500000</v>
      </c>
      <c r="N318" s="259">
        <f>[2]Base!AP318</f>
        <v>0</v>
      </c>
      <c r="O318" s="259">
        <f>[2]Base!AQ318</f>
        <v>1066500000</v>
      </c>
      <c r="P318" s="258">
        <f>+[2]Base!ED318</f>
        <v>264495808.73964587</v>
      </c>
      <c r="Q318" s="260">
        <f>'[1]SITE (Imprensa)_PT'!P318</f>
        <v>0</v>
      </c>
      <c r="R318" s="210">
        <f>'[1]SITE (Imprensa)_PT'!Q318</f>
        <v>0.54841174074074073</v>
      </c>
      <c r="S318" s="210">
        <f>'[1]SITE (Imprensa)_PT'!R318</f>
        <v>0.25543455555555555</v>
      </c>
      <c r="T318" s="212">
        <f>'[1]SITE (Imprensa)_PT'!S318</f>
        <v>0.19615370370370369</v>
      </c>
      <c r="U318" s="1"/>
    </row>
    <row r="319" spans="2:21" ht="13.2" x14ac:dyDescent="0.25">
      <c r="B319" s="40" t="str">
        <f>[2]Base!A319</f>
        <v>BTGP BANCO</v>
      </c>
      <c r="C319" s="41" t="str">
        <f>[2]Base!C319</f>
        <v>N2</v>
      </c>
      <c r="D319" s="213" t="s">
        <v>67</v>
      </c>
      <c r="E319" s="223" t="str">
        <f>[2]Base!M319</f>
        <v>BTG Pactual</v>
      </c>
      <c r="F319" s="52" t="str">
        <f>[2]Base!F319</f>
        <v>FOLLOW-ON</v>
      </c>
      <c r="G319" s="52" t="str">
        <f>[2]Base!G319</f>
        <v>ICVM 476</v>
      </c>
      <c r="H319" s="53">
        <f>[2]Base!X319</f>
        <v>43627</v>
      </c>
      <c r="I319" s="198">
        <f>[2]Base!W319</f>
        <v>46</v>
      </c>
      <c r="J319" s="227">
        <f>[2]Base!J319</f>
        <v>43629</v>
      </c>
      <c r="K319" s="258">
        <f>'[1]SITE (Imprensa)_PT'!K319</f>
        <v>0</v>
      </c>
      <c r="L319" s="258">
        <f>[2]Base!DZ319</f>
        <v>138</v>
      </c>
      <c r="M319" s="259">
        <f>[2]Base!AO319</f>
        <v>0</v>
      </c>
      <c r="N319" s="259">
        <f>[2]Base!AP319</f>
        <v>2539200000</v>
      </c>
      <c r="O319" s="259">
        <f>[2]Base!AQ319</f>
        <v>2539200000</v>
      </c>
      <c r="P319" s="258">
        <f>+[2]Base!ED319</f>
        <v>660750995.34205937</v>
      </c>
      <c r="Q319" s="260">
        <f>'[1]SITE (Imprensa)_PT'!P319</f>
        <v>0</v>
      </c>
      <c r="R319" s="210">
        <f>'[1]SITE (Imprensa)_PT'!Q319</f>
        <v>0.67451798913043481</v>
      </c>
      <c r="S319" s="210">
        <f>'[1]SITE (Imprensa)_PT'!R319</f>
        <v>0.32373188405797104</v>
      </c>
      <c r="T319" s="212">
        <f>'[1]SITE (Imprensa)_PT'!S319</f>
        <v>1.7501268115942029E-3</v>
      </c>
      <c r="U319" s="1"/>
    </row>
    <row r="320" spans="2:21" ht="13.2" x14ac:dyDescent="0.25">
      <c r="B320" s="40" t="str">
        <f>[2]Base!A320</f>
        <v>CPFL ENERGIA</v>
      </c>
      <c r="C320" s="41" t="str">
        <f>[2]Base!C320</f>
        <v>NM</v>
      </c>
      <c r="D320" s="213" t="s">
        <v>126</v>
      </c>
      <c r="E320" s="223" t="str">
        <f>[2]Base!M320</f>
        <v>Itaú BBA</v>
      </c>
      <c r="F320" s="52" t="str">
        <f>[2]Base!F320</f>
        <v>FOLLOW-ON</v>
      </c>
      <c r="G320" s="52" t="str">
        <f>[2]Base!G320</f>
        <v>ICVM 476</v>
      </c>
      <c r="H320" s="53">
        <f>[2]Base!X320</f>
        <v>43628</v>
      </c>
      <c r="I320" s="198">
        <f>[2]Base!W320</f>
        <v>27.5</v>
      </c>
      <c r="J320" s="227">
        <f>[2]Base!J320</f>
        <v>43629</v>
      </c>
      <c r="K320" s="258">
        <f>'[1]SITE (Imprensa)_PT'!K320</f>
        <v>27</v>
      </c>
      <c r="L320" s="258">
        <f>[2]Base!DZ320</f>
        <v>572</v>
      </c>
      <c r="M320" s="259">
        <f>[2]Base!AO320</f>
        <v>3694341585</v>
      </c>
      <c r="N320" s="259">
        <f>[2]Base!AP320</f>
        <v>0</v>
      </c>
      <c r="O320" s="259">
        <f>[2]Base!AQ320</f>
        <v>3694341585</v>
      </c>
      <c r="P320" s="258">
        <f>+[2]Base!ED320</f>
        <v>930096068.73111784</v>
      </c>
      <c r="Q320" s="260">
        <f>'[1]SITE (Imprensa)_PT'!P320</f>
        <v>1.4261012087760153E-3</v>
      </c>
      <c r="R320" s="210">
        <f>'[1]SITE (Imprensa)_PT'!Q320</f>
        <v>0.5096314571030659</v>
      </c>
      <c r="S320" s="210">
        <f>'[1]SITE (Imprensa)_PT'!R320</f>
        <v>0.4871484819669159</v>
      </c>
      <c r="T320" s="212">
        <f>'[1]SITE (Imprensa)_PT'!S320</f>
        <v>1.7939597212421818E-3</v>
      </c>
      <c r="U320" s="1"/>
    </row>
    <row r="321" spans="2:21" ht="13.2" x14ac:dyDescent="0.25">
      <c r="B321" s="40" t="str">
        <f>[2]Base!A321</f>
        <v>INTERMEDICA</v>
      </c>
      <c r="C321" s="41" t="str">
        <f>[2]Base!C321</f>
        <v>NM</v>
      </c>
      <c r="D321" s="213" t="s">
        <v>131</v>
      </c>
      <c r="E321" s="223" t="str">
        <f>[2]Base!M321</f>
        <v>Itaú BBA</v>
      </c>
      <c r="F321" s="52" t="str">
        <f>[2]Base!F321</f>
        <v>FOLLOW-ON</v>
      </c>
      <c r="G321" s="52" t="str">
        <f>[2]Base!G321</f>
        <v>ICVM 476</v>
      </c>
      <c r="H321" s="53">
        <f>[2]Base!X321</f>
        <v>43634</v>
      </c>
      <c r="I321" s="198">
        <f>[2]Base!W321</f>
        <v>39.5</v>
      </c>
      <c r="J321" s="227">
        <f>[2]Base!J321</f>
        <v>43637</v>
      </c>
      <c r="K321" s="258">
        <f>'[1]SITE (Imprensa)_PT'!K321</f>
        <v>0</v>
      </c>
      <c r="L321" s="258">
        <f>[2]Base!DZ321</f>
        <v>267</v>
      </c>
      <c r="M321" s="259">
        <f>[2]Base!AO321</f>
        <v>0</v>
      </c>
      <c r="N321" s="259">
        <f>[2]Base!AP321</f>
        <v>2666250000</v>
      </c>
      <c r="O321" s="259">
        <f>[2]Base!AQ321</f>
        <v>2666250000</v>
      </c>
      <c r="P321" s="258">
        <f>+[2]Base!ED321</f>
        <v>696967716.63834798</v>
      </c>
      <c r="Q321" s="260">
        <f>'[1]SITE (Imprensa)_PT'!P321</f>
        <v>0</v>
      </c>
      <c r="R321" s="210">
        <f>'[1]SITE (Imprensa)_PT'!Q321</f>
        <v>0.59822416296296299</v>
      </c>
      <c r="S321" s="210">
        <f>'[1]SITE (Imprensa)_PT'!R321</f>
        <v>0.40177583703703706</v>
      </c>
      <c r="T321" s="212">
        <f>'[1]SITE (Imprensa)_PT'!S321</f>
        <v>0</v>
      </c>
      <c r="U321" s="1"/>
    </row>
    <row r="322" spans="2:21" ht="13.2" x14ac:dyDescent="0.25">
      <c r="B322" s="40" t="str">
        <f>[2]Base!A322</f>
        <v>LINX¹</v>
      </c>
      <c r="C322" s="41" t="str">
        <f>[2]Base!C322</f>
        <v>NM</v>
      </c>
      <c r="D322" s="213" t="s">
        <v>141</v>
      </c>
      <c r="E322" s="223" t="str">
        <f>[2]Base!M322</f>
        <v>Goldman Sachs</v>
      </c>
      <c r="F322" s="52" t="str">
        <f>[2]Base!F322</f>
        <v>FOLLOW-ON</v>
      </c>
      <c r="G322" s="52" t="str">
        <f>[2]Base!G322</f>
        <v>ICVM 400</v>
      </c>
      <c r="H322" s="53">
        <f>[2]Base!X322</f>
        <v>43641</v>
      </c>
      <c r="I322" s="198">
        <f>[2]Base!W322</f>
        <v>36</v>
      </c>
      <c r="J322" s="227">
        <f>[2]Base!J322</f>
        <v>43642</v>
      </c>
      <c r="K322" s="258">
        <f>'[1]SITE (Imprensa)_PT'!K322</f>
        <v>664</v>
      </c>
      <c r="L322" s="258">
        <f>[2]Base!DZ322</f>
        <v>761</v>
      </c>
      <c r="M322" s="259">
        <f>[2]Base!AO322</f>
        <v>831600000</v>
      </c>
      <c r="N322" s="259">
        <f>[2]Base!AP322</f>
        <v>348285636</v>
      </c>
      <c r="O322" s="259">
        <f>[2]Base!AQ322</f>
        <v>1179885636</v>
      </c>
      <c r="P322" s="258">
        <f>+[2]Base!ED322</f>
        <v>306934168.20582193</v>
      </c>
      <c r="Q322" s="260">
        <f>'[1]SITE (Imprensa)_PT'!P322</f>
        <v>6.691218931775024E-2</v>
      </c>
      <c r="R322" s="210">
        <f>'[1]SITE (Imprensa)_PT'!Q322</f>
        <v>7.148899176945521E-2</v>
      </c>
      <c r="S322" s="210">
        <f>'[1]SITE (Imprensa)_PT'!R322</f>
        <v>0.85996942232790807</v>
      </c>
      <c r="T322" s="212">
        <f>'[1]SITE (Imprensa)_PT'!S322</f>
        <v>1.6293965848864648E-3</v>
      </c>
      <c r="U322" s="1"/>
    </row>
    <row r="323" spans="2:21" ht="13.2" x14ac:dyDescent="0.25">
      <c r="B323" s="40" t="str">
        <f>[2]Base!A323</f>
        <v>PETROBRAS¹</v>
      </c>
      <c r="C323" s="41" t="str">
        <f>[2]Base!C323</f>
        <v>N2</v>
      </c>
      <c r="D323" s="213" t="s">
        <v>139</v>
      </c>
      <c r="E323" s="223" t="str">
        <f>[2]Base!M323</f>
        <v>Caixa</v>
      </c>
      <c r="F323" s="52" t="str">
        <f>[2]Base!F323</f>
        <v>FOLLOW-ON</v>
      </c>
      <c r="G323" s="52" t="str">
        <f>[2]Base!G323</f>
        <v>ICVM 400</v>
      </c>
      <c r="H323" s="53">
        <f>[2]Base!X323</f>
        <v>43641</v>
      </c>
      <c r="I323" s="198">
        <f>[2]Base!W323</f>
        <v>30.25</v>
      </c>
      <c r="J323" s="227">
        <f>[2]Base!J323</f>
        <v>43643</v>
      </c>
      <c r="K323" s="258">
        <f>'[1]SITE (Imprensa)_PT'!K323</f>
        <v>13251</v>
      </c>
      <c r="L323" s="258">
        <f>[2]Base!DZ323</f>
        <v>13694</v>
      </c>
      <c r="M323" s="259">
        <f>[2]Base!AO323</f>
        <v>0</v>
      </c>
      <c r="N323" s="259">
        <f>[2]Base!AP323</f>
        <v>7300546222.75</v>
      </c>
      <c r="O323" s="259">
        <f>[2]Base!AQ323</f>
        <v>7300546222.75</v>
      </c>
      <c r="P323" s="258">
        <f>+[2]Base!ED323</f>
        <v>1889277527.7547746</v>
      </c>
      <c r="Q323" s="260">
        <f>'[1]SITE (Imprensa)_PT'!P323</f>
        <v>0.20642952852674615</v>
      </c>
      <c r="R323" s="210">
        <f>'[1]SITE (Imprensa)_PT'!Q323</f>
        <v>0.32478022502086895</v>
      </c>
      <c r="S323" s="210">
        <f>'[1]SITE (Imprensa)_PT'!R323</f>
        <v>0.45530170747935084</v>
      </c>
      <c r="T323" s="212">
        <f>'[1]SITE (Imprensa)_PT'!S323</f>
        <v>1.3488538973034064E-2</v>
      </c>
      <c r="U323" s="1"/>
    </row>
    <row r="324" spans="2:21" ht="13.2" x14ac:dyDescent="0.25">
      <c r="B324" s="40" t="str">
        <f>[2]Base!A324</f>
        <v>NEOENERGIA</v>
      </c>
      <c r="C324" s="41" t="str">
        <f>[2]Base!C324</f>
        <v>NM</v>
      </c>
      <c r="D324" s="213" t="s">
        <v>126</v>
      </c>
      <c r="E324" s="223" t="str">
        <f>[2]Base!M324</f>
        <v>BB Investimentos</v>
      </c>
      <c r="F324" s="52" t="str">
        <f>[2]Base!F324</f>
        <v>IPO</v>
      </c>
      <c r="G324" s="52" t="str">
        <f>[2]Base!G324</f>
        <v>ICVM 400</v>
      </c>
      <c r="H324" s="53">
        <f>[2]Base!X324</f>
        <v>43623</v>
      </c>
      <c r="I324" s="198">
        <f>[2]Base!W324</f>
        <v>15.65</v>
      </c>
      <c r="J324" s="227">
        <f>[2]Base!J324</f>
        <v>43644</v>
      </c>
      <c r="K324" s="258">
        <f>'[1]SITE (Imprensa)_PT'!K324</f>
        <v>21595</v>
      </c>
      <c r="L324" s="258">
        <f>[2]Base!DZ324</f>
        <v>22695</v>
      </c>
      <c r="M324" s="259">
        <f>[2]Base!AO324</f>
        <v>0</v>
      </c>
      <c r="N324" s="259">
        <f>[2]Base!AP324</f>
        <v>3744278776.0000005</v>
      </c>
      <c r="O324" s="259">
        <f>[2]Base!AQ324</f>
        <v>3744278776.0000005</v>
      </c>
      <c r="P324" s="258">
        <f>+[2]Base!ED324</f>
        <v>977057245.44648004</v>
      </c>
      <c r="Q324" s="260">
        <f>'[1]SITE (Imprensa)_PT'!P324</f>
        <v>0.16386312887082957</v>
      </c>
      <c r="R324" s="210">
        <f>'[1]SITE (Imprensa)_PT'!Q324</f>
        <v>0.43233909035463336</v>
      </c>
      <c r="S324" s="210">
        <f>'[1]SITE (Imprensa)_PT'!R324</f>
        <v>0.39339634218517922</v>
      </c>
      <c r="T324" s="212">
        <f>'[1]SITE (Imprensa)_PT'!S324</f>
        <v>1.0401438589357857E-2</v>
      </c>
      <c r="U324" s="1"/>
    </row>
    <row r="325" spans="2:21" ht="13.2" x14ac:dyDescent="0.25">
      <c r="B325" s="40" t="str">
        <f>[2]Base!A325</f>
        <v>LIGHT S/A</v>
      </c>
      <c r="C325" s="41" t="str">
        <f>[2]Base!C325</f>
        <v>NM</v>
      </c>
      <c r="D325" s="213" t="s">
        <v>126</v>
      </c>
      <c r="E325" s="223" t="str">
        <f>[2]Base!M325</f>
        <v>Itaú BBA</v>
      </c>
      <c r="F325" s="52" t="str">
        <f>[2]Base!F325</f>
        <v>FOLLOW-ON</v>
      </c>
      <c r="G325" s="52" t="str">
        <f>[2]Base!G325</f>
        <v>ICVM 476</v>
      </c>
      <c r="H325" s="53">
        <f>[2]Base!X325</f>
        <v>43627</v>
      </c>
      <c r="I325" s="198">
        <f>[2]Base!W325</f>
        <v>18.75</v>
      </c>
      <c r="J325" s="227">
        <f>[2]Base!J325</f>
        <v>43648</v>
      </c>
      <c r="K325" s="258">
        <f>'[1]SITE (Imprensa)_PT'!K325</f>
        <v>144</v>
      </c>
      <c r="L325" s="258">
        <f>[2]Base!DZ325</f>
        <v>664</v>
      </c>
      <c r="M325" s="259">
        <f>[2]Base!AO325</f>
        <v>1875000000</v>
      </c>
      <c r="N325" s="259">
        <f>[2]Base!AP325</f>
        <v>624999993.75</v>
      </c>
      <c r="O325" s="259">
        <f>[2]Base!AQ325</f>
        <v>2499999993.75</v>
      </c>
      <c r="P325" s="258">
        <f>+[2]Base!ED325</f>
        <v>654570207.56421328</v>
      </c>
      <c r="Q325" s="260">
        <f>'[1]SITE (Imprensa)_PT'!P325</f>
        <v>6.8671725171679313E-3</v>
      </c>
      <c r="R325" s="210">
        <f>'[1]SITE (Imprensa)_PT'!Q325</f>
        <v>0.52464667631161666</v>
      </c>
      <c r="S325" s="210">
        <f>'[1]SITE (Imprensa)_PT'!R325</f>
        <v>0.46655523116638808</v>
      </c>
      <c r="T325" s="212">
        <f>'[1]SITE (Imprensa)_PT'!S325</f>
        <v>1.9309200048273001E-3</v>
      </c>
      <c r="U325" s="1"/>
    </row>
    <row r="326" spans="2:21" ht="13.2" x14ac:dyDescent="0.25">
      <c r="B326" s="40" t="str">
        <f>[2]Base!A326</f>
        <v>TECNISA</v>
      </c>
      <c r="C326" s="41" t="str">
        <f>[2]Base!C326</f>
        <v>NM</v>
      </c>
      <c r="D326" s="213" t="s">
        <v>82</v>
      </c>
      <c r="E326" s="223" t="str">
        <f>[2]Base!M326</f>
        <v>BTG Pactual</v>
      </c>
      <c r="F326" s="52" t="str">
        <f>[2]Base!F326</f>
        <v>FOLLOW-ON</v>
      </c>
      <c r="G326" s="52" t="str">
        <f>[2]Base!G326</f>
        <v>ICVM 476</v>
      </c>
      <c r="H326" s="53">
        <f>[2]Base!X326</f>
        <v>43663</v>
      </c>
      <c r="I326" s="198">
        <f>[2]Base!W326</f>
        <v>1.1000000000000001</v>
      </c>
      <c r="J326" s="227">
        <f>[2]Base!J326</f>
        <v>43665</v>
      </c>
      <c r="K326" s="258">
        <f>'[1]SITE (Imprensa)_PT'!K326</f>
        <v>2</v>
      </c>
      <c r="L326" s="258">
        <f>[2]Base!DZ326</f>
        <v>381</v>
      </c>
      <c r="M326" s="259">
        <f>[2]Base!AO326</f>
        <v>445500000.00000006</v>
      </c>
      <c r="N326" s="259">
        <f>[2]Base!AP326</f>
        <v>0</v>
      </c>
      <c r="O326" s="259">
        <f>[2]Base!AQ326</f>
        <v>445500000.00000006</v>
      </c>
      <c r="P326" s="258">
        <f>+[2]Base!ED326</f>
        <v>119092172.79726262</v>
      </c>
      <c r="Q326" s="260">
        <f>'[1]SITE (Imprensa)_PT'!P326</f>
        <v>1.930791851851852E-2</v>
      </c>
      <c r="R326" s="210">
        <f>'[1]SITE (Imprensa)_PT'!Q326</f>
        <v>0.66594965925925931</v>
      </c>
      <c r="S326" s="210">
        <f>'[1]SITE (Imprensa)_PT'!R326</f>
        <v>0.16138789382716048</v>
      </c>
      <c r="T326" s="212">
        <f>'[1]SITE (Imprensa)_PT'!S326</f>
        <v>0.15335452839506172</v>
      </c>
      <c r="U326" s="1"/>
    </row>
    <row r="327" spans="2:21" ht="13.2" x14ac:dyDescent="0.25">
      <c r="B327" s="40" t="str">
        <f>[2]Base!A327</f>
        <v>IRBBRASIL RE</v>
      </c>
      <c r="C327" s="41" t="str">
        <f>[2]Base!C327</f>
        <v>NM</v>
      </c>
      <c r="D327" s="213" t="s">
        <v>64</v>
      </c>
      <c r="E327" s="223" t="str">
        <f>[2]Base!M327</f>
        <v>BB Investimentos</v>
      </c>
      <c r="F327" s="52" t="str">
        <f>[2]Base!F327</f>
        <v>FOLLOW-ON</v>
      </c>
      <c r="G327" s="52" t="str">
        <f>[2]Base!G327</f>
        <v>ICVM 476</v>
      </c>
      <c r="H327" s="53">
        <f>[2]Base!X327</f>
        <v>43664</v>
      </c>
      <c r="I327" s="198">
        <f>[2]Base!W327</f>
        <v>88</v>
      </c>
      <c r="J327" s="227">
        <f>[2]Base!J327</f>
        <v>43668</v>
      </c>
      <c r="K327" s="258">
        <f>'[1]SITE (Imprensa)_PT'!K327</f>
        <v>0</v>
      </c>
      <c r="L327" s="258">
        <f>[2]Base!DZ327</f>
        <v>520</v>
      </c>
      <c r="M327" s="259">
        <f>[2]Base!AO327</f>
        <v>0</v>
      </c>
      <c r="N327" s="259">
        <f>[2]Base!AP327</f>
        <v>7390103600</v>
      </c>
      <c r="O327" s="259">
        <f>[2]Base!AQ327</f>
        <v>7390103600</v>
      </c>
      <c r="P327" s="258">
        <f>+[2]Base!ED327</f>
        <v>1975963529.4117646</v>
      </c>
      <c r="Q327" s="260">
        <f>'[1]SITE (Imprensa)_PT'!P327</f>
        <v>2.0243288605588696E-5</v>
      </c>
      <c r="R327" s="210">
        <f>'[1]SITE (Imprensa)_PT'!Q327</f>
        <v>0.27353823510674463</v>
      </c>
      <c r="S327" s="210">
        <f>'[1]SITE (Imprensa)_PT'!R327</f>
        <v>0.72644152160464981</v>
      </c>
      <c r="T327" s="212">
        <f>'[1]SITE (Imprensa)_PT'!S327</f>
        <v>0</v>
      </c>
      <c r="U327" s="1"/>
    </row>
    <row r="328" spans="2:21" ht="13.2" x14ac:dyDescent="0.25">
      <c r="B328" s="40" t="str">
        <f>[2]Base!A328</f>
        <v>HAPVIDA</v>
      </c>
      <c r="C328" s="41" t="str">
        <f>[2]Base!C328</f>
        <v>NM</v>
      </c>
      <c r="D328" s="213" t="s">
        <v>131</v>
      </c>
      <c r="E328" s="223" t="str">
        <f>[2]Base!M328</f>
        <v>BTG Pactual</v>
      </c>
      <c r="F328" s="52" t="str">
        <f>[2]Base!F328</f>
        <v>FOLLOW-ON</v>
      </c>
      <c r="G328" s="52" t="str">
        <f>[2]Base!G328</f>
        <v>ICVM 476</v>
      </c>
      <c r="H328" s="53">
        <f>[2]Base!X328</f>
        <v>43670</v>
      </c>
      <c r="I328" s="198">
        <f>[2]Base!W328</f>
        <v>42.5</v>
      </c>
      <c r="J328" s="227">
        <f>[2]Base!J328</f>
        <v>43672</v>
      </c>
      <c r="K328" s="258">
        <f>'[1]SITE (Imprensa)_PT'!K328</f>
        <v>0</v>
      </c>
      <c r="L328" s="258">
        <f>[2]Base!DZ328</f>
        <v>474</v>
      </c>
      <c r="M328" s="259">
        <f>[2]Base!AO328</f>
        <v>2664495000</v>
      </c>
      <c r="N328" s="259">
        <f>[2]Base!AP328</f>
        <v>0</v>
      </c>
      <c r="O328" s="259">
        <f>[2]Base!AQ328</f>
        <v>2664495000</v>
      </c>
      <c r="P328" s="258">
        <f>+[2]Base!ED328</f>
        <v>705994806.70888424</v>
      </c>
      <c r="Q328" s="260">
        <f>'[1]SITE (Imprensa)_PT'!P328</f>
        <v>0</v>
      </c>
      <c r="R328" s="210">
        <f>'[1]SITE (Imprensa)_PT'!Q328</f>
        <v>0.36130345806616265</v>
      </c>
      <c r="S328" s="210">
        <f>'[1]SITE (Imprensa)_PT'!R328</f>
        <v>0.52997097010878236</v>
      </c>
      <c r="T328" s="212">
        <f>'[1]SITE (Imprensa)_PT'!S328</f>
        <v>0.10872557182505503</v>
      </c>
      <c r="U328" s="1"/>
    </row>
    <row r="329" spans="2:21" ht="13.2" x14ac:dyDescent="0.25">
      <c r="B329" s="40" t="str">
        <f>[2]Base!A329</f>
        <v>MOVIDA</v>
      </c>
      <c r="C329" s="41" t="str">
        <f>[2]Base!C329</f>
        <v>NM</v>
      </c>
      <c r="D329" s="213" t="s">
        <v>142</v>
      </c>
      <c r="E329" s="223" t="str">
        <f>[2]Base!M329</f>
        <v>BTG Pactual</v>
      </c>
      <c r="F329" s="52" t="str">
        <f>[2]Base!F329</f>
        <v>FOLLOW-ON</v>
      </c>
      <c r="G329" s="52" t="str">
        <f>[2]Base!G329</f>
        <v>ICVM 476</v>
      </c>
      <c r="H329" s="53">
        <f>[2]Base!X329</f>
        <v>43671</v>
      </c>
      <c r="I329" s="198">
        <f>[2]Base!W329</f>
        <v>15</v>
      </c>
      <c r="J329" s="227">
        <f>[2]Base!J329</f>
        <v>43675</v>
      </c>
      <c r="K329" s="258">
        <f>'[1]SITE (Imprensa)_PT'!K329</f>
        <v>0</v>
      </c>
      <c r="L329" s="258">
        <f>[2]Base!DZ329</f>
        <v>942</v>
      </c>
      <c r="M329" s="259">
        <f>[2]Base!AO329</f>
        <v>532500000</v>
      </c>
      <c r="N329" s="259">
        <f>[2]Base!AP329</f>
        <v>300000000</v>
      </c>
      <c r="O329" s="259">
        <f>[2]Base!AQ329</f>
        <v>832500000</v>
      </c>
      <c r="P329" s="258">
        <f>+[2]Base!ED329</f>
        <v>219604843.17708194</v>
      </c>
      <c r="Q329" s="260">
        <f>'[1]SITE (Imprensa)_PT'!P329</f>
        <v>3.6036036036036037E-4</v>
      </c>
      <c r="R329" s="210">
        <f>'[1]SITE (Imprensa)_PT'!Q329</f>
        <v>0.49053855855855855</v>
      </c>
      <c r="S329" s="210">
        <f>'[1]SITE (Imprensa)_PT'!R329</f>
        <v>0.44159261261261262</v>
      </c>
      <c r="T329" s="212">
        <f>'[1]SITE (Imprensa)_PT'!S329</f>
        <v>6.7508468468468474E-2</v>
      </c>
      <c r="U329" s="1"/>
    </row>
    <row r="330" spans="2:21" ht="13.2" x14ac:dyDescent="0.25">
      <c r="B330" s="40" t="str">
        <f>[2]Base!A330</f>
        <v>BANCO INTER</v>
      </c>
      <c r="C330" s="41" t="str">
        <f>[2]Base!C330</f>
        <v>N2</v>
      </c>
      <c r="D330" s="213" t="s">
        <v>67</v>
      </c>
      <c r="E330" s="223" t="str">
        <f>[2]Base!M330</f>
        <v>Bradesco BBI</v>
      </c>
      <c r="F330" s="52" t="str">
        <f>[2]Base!F330</f>
        <v>FOLLOW-ON</v>
      </c>
      <c r="G330" s="52" t="str">
        <f>[2]Base!G330</f>
        <v>ICVM 476</v>
      </c>
      <c r="H330" s="53">
        <f>[2]Base!X330</f>
        <v>43675</v>
      </c>
      <c r="I330" s="198">
        <f>[2]Base!W330</f>
        <v>13.33</v>
      </c>
      <c r="J330" s="227">
        <f>[2]Base!J330</f>
        <v>43677</v>
      </c>
      <c r="K330" s="258">
        <f>'[1]SITE (Imprensa)_PT'!K330</f>
        <v>0</v>
      </c>
      <c r="L330" s="258">
        <f>[2]Base!DZ330</f>
        <v>3632</v>
      </c>
      <c r="M330" s="259">
        <f>[2]Base!AO330</f>
        <v>1247688000</v>
      </c>
      <c r="N330" s="259">
        <f>[2]Base!AP330</f>
        <v>0</v>
      </c>
      <c r="O330" s="259">
        <f>[2]Base!AQ330</f>
        <v>1247688000</v>
      </c>
      <c r="P330" s="258">
        <f>+[2]Base!ED330</f>
        <v>331400037.18558264</v>
      </c>
      <c r="Q330" s="260">
        <f>'[1]SITE (Imprensa)_PT'!P330</f>
        <v>0</v>
      </c>
      <c r="R330" s="210">
        <f>'[1]SITE (Imprensa)_PT'!Q330</f>
        <v>0.65372928418803422</v>
      </c>
      <c r="S330" s="210">
        <f>'[1]SITE (Imprensa)_PT'!R330</f>
        <v>2.7471153846153847E-2</v>
      </c>
      <c r="T330" s="212">
        <f>'[1]SITE (Imprensa)_PT'!S330</f>
        <v>0.318799561965812</v>
      </c>
      <c r="U330" s="1"/>
    </row>
    <row r="331" spans="2:21" ht="13.2" x14ac:dyDescent="0.25">
      <c r="B331" s="40" t="str">
        <f>[2]Base!A331</f>
        <v>PETROBRAS BR</v>
      </c>
      <c r="C331" s="41" t="str">
        <f>[2]Base!C331</f>
        <v>NM</v>
      </c>
      <c r="D331" s="213" t="s">
        <v>139</v>
      </c>
      <c r="E331" s="223" t="str">
        <f>[2]Base!M331</f>
        <v>JP Morgan</v>
      </c>
      <c r="F331" s="52" t="str">
        <f>[2]Base!F331</f>
        <v>FOLLOW-ON</v>
      </c>
      <c r="G331" s="52" t="str">
        <f>[2]Base!G331</f>
        <v>ICVM 400</v>
      </c>
      <c r="H331" s="53">
        <f>[2]Base!X331</f>
        <v>43669</v>
      </c>
      <c r="I331" s="198">
        <f>[2]Base!W331</f>
        <v>24.5</v>
      </c>
      <c r="J331" s="227">
        <f>[2]Base!J331</f>
        <v>43671</v>
      </c>
      <c r="K331" s="258">
        <f>'[1]SITE (Imprensa)_PT'!K331</f>
        <v>7348</v>
      </c>
      <c r="L331" s="258">
        <f>[2]Base!DZ331</f>
        <v>8282</v>
      </c>
      <c r="M331" s="259">
        <f>[2]Base!AO331</f>
        <v>0</v>
      </c>
      <c r="N331" s="259">
        <f>[2]Base!AP331</f>
        <v>9633093750</v>
      </c>
      <c r="O331" s="259">
        <f>[2]Base!AQ331</f>
        <v>9633093750</v>
      </c>
      <c r="P331" s="258">
        <f>+[2]Base!ED331</f>
        <v>2545138246.7172184</v>
      </c>
      <c r="Q331" s="260">
        <f>'[1]SITE (Imprensa)_PT'!P331</f>
        <v>9.6246345573040848E-2</v>
      </c>
      <c r="R331" s="210">
        <f>'[1]SITE (Imprensa)_PT'!Q331</f>
        <v>0.4537832052137975</v>
      </c>
      <c r="S331" s="210">
        <f>'[1]SITE (Imprensa)_PT'!R331</f>
        <v>0.44569897313622636</v>
      </c>
      <c r="T331" s="212">
        <f>'[1]SITE (Imprensa)_PT'!S331</f>
        <v>4.2714760769353042E-3</v>
      </c>
      <c r="U331" s="1"/>
    </row>
    <row r="332" spans="2:21" ht="13.2" x14ac:dyDescent="0.25">
      <c r="B332" s="40" t="str">
        <f>[2]Base!A332</f>
        <v>TRISUL</v>
      </c>
      <c r="C332" s="41" t="str">
        <f>[2]Base!C332</f>
        <v>NM</v>
      </c>
      <c r="D332" s="213" t="s">
        <v>82</v>
      </c>
      <c r="E332" s="223" t="str">
        <f>[2]Base!M332</f>
        <v>BTG Pactual</v>
      </c>
      <c r="F332" s="52" t="str">
        <f>[2]Base!F332</f>
        <v>FOLLOW-ON</v>
      </c>
      <c r="G332" s="52" t="str">
        <f>[2]Base!G332</f>
        <v>ICVM 476</v>
      </c>
      <c r="H332" s="53">
        <f>[2]Base!X332</f>
        <v>43720</v>
      </c>
      <c r="I332" s="198">
        <f>[2]Base!W332</f>
        <v>10</v>
      </c>
      <c r="J332" s="227">
        <f>[2]Base!J332</f>
        <v>43724</v>
      </c>
      <c r="K332" s="258">
        <f>'[1]SITE (Imprensa)_PT'!K332</f>
        <v>0</v>
      </c>
      <c r="L332" s="258">
        <f>[2]Base!DZ332</f>
        <v>761</v>
      </c>
      <c r="M332" s="259">
        <f>[2]Base!AO332</f>
        <v>405000000</v>
      </c>
      <c r="N332" s="259">
        <f>[2]Base!AP332</f>
        <v>0</v>
      </c>
      <c r="O332" s="259">
        <f>[2]Base!AQ332</f>
        <v>405000000</v>
      </c>
      <c r="P332" s="258">
        <f>+[2]Base!ED332</f>
        <v>99089841.456253663</v>
      </c>
      <c r="Q332" s="260">
        <f>'[1]SITE (Imprensa)_PT'!P332</f>
        <v>0</v>
      </c>
      <c r="R332" s="210">
        <f>'[1]SITE (Imprensa)_PT'!Q332</f>
        <v>0.82014575308641979</v>
      </c>
      <c r="S332" s="210">
        <f>'[1]SITE (Imprensa)_PT'!R332</f>
        <v>0.11024691358024691</v>
      </c>
      <c r="T332" s="212">
        <f>'[1]SITE (Imprensa)_PT'!S332</f>
        <v>6.9607333333333327E-2</v>
      </c>
      <c r="U332" s="1"/>
    </row>
    <row r="333" spans="2:21" ht="13.2" x14ac:dyDescent="0.25">
      <c r="B333" s="40" t="str">
        <f>[2]Base!A333</f>
        <v>BANCO PAN</v>
      </c>
      <c r="C333" s="41" t="str">
        <f>[2]Base!C333</f>
        <v>N1</v>
      </c>
      <c r="D333" s="213" t="s">
        <v>67</v>
      </c>
      <c r="E333" s="223" t="str">
        <f>[2]Base!M333</f>
        <v>BTG Pactual</v>
      </c>
      <c r="F333" s="52" t="str">
        <f>[2]Base!F333</f>
        <v>FOLLOW-ON</v>
      </c>
      <c r="G333" s="52" t="str">
        <f>[2]Base!G333</f>
        <v>ICVM 476</v>
      </c>
      <c r="H333" s="53">
        <f>[2]Base!X333</f>
        <v>43727</v>
      </c>
      <c r="I333" s="198">
        <f>[2]Base!W333</f>
        <v>8.25</v>
      </c>
      <c r="J333" s="227">
        <f>[2]Base!J333</f>
        <v>43731</v>
      </c>
      <c r="K333" s="258">
        <f>'[1]SITE (Imprensa)_PT'!K333</f>
        <v>0</v>
      </c>
      <c r="L333" s="258">
        <f>[2]Base!DZ333</f>
        <v>671</v>
      </c>
      <c r="M333" s="259">
        <f>[2]Base!AO333</f>
        <v>521812500</v>
      </c>
      <c r="N333" s="259">
        <f>[2]Base!AP333</f>
        <v>521812500</v>
      </c>
      <c r="O333" s="259">
        <f>[2]Base!AQ333</f>
        <v>1043625000</v>
      </c>
      <c r="P333" s="258">
        <f>+[2]Base!ED333</f>
        <v>250065893.51607803</v>
      </c>
      <c r="Q333" s="260">
        <f>'[1]SITE (Imprensa)_PT'!P333</f>
        <v>1.5352332015810277E-3</v>
      </c>
      <c r="R333" s="210">
        <f>'[1]SITE (Imprensa)_PT'!Q333</f>
        <v>0.64222959683794467</v>
      </c>
      <c r="S333" s="210">
        <f>'[1]SITE (Imprensa)_PT'!R333</f>
        <v>0.32960474308300397</v>
      </c>
      <c r="T333" s="212">
        <f>'[1]SITE (Imprensa)_PT'!S333</f>
        <v>2.6630426877470356E-2</v>
      </c>
      <c r="U333" s="1"/>
    </row>
    <row r="334" spans="2:21" ht="13.2" x14ac:dyDescent="0.25">
      <c r="B334" s="40" t="str">
        <f>[2]Base!A334</f>
        <v>SINQIA</v>
      </c>
      <c r="C334" s="41" t="str">
        <f>[2]Base!C334</f>
        <v>NM</v>
      </c>
      <c r="D334" s="213" t="s">
        <v>141</v>
      </c>
      <c r="E334" s="223" t="str">
        <f>[2]Base!M334</f>
        <v>BTG Pactual</v>
      </c>
      <c r="F334" s="52" t="str">
        <f>[2]Base!F334</f>
        <v>FOLLOW-ON</v>
      </c>
      <c r="G334" s="52" t="str">
        <f>[2]Base!G334</f>
        <v>ICVM 476</v>
      </c>
      <c r="H334" s="53">
        <f>[2]Base!X334</f>
        <v>43725</v>
      </c>
      <c r="I334" s="198">
        <f>[2]Base!W334</f>
        <v>62</v>
      </c>
      <c r="J334" s="227">
        <f>[2]Base!J334</f>
        <v>43727</v>
      </c>
      <c r="K334" s="258">
        <f>'[1]SITE (Imprensa)_PT'!K334</f>
        <v>0</v>
      </c>
      <c r="L334" s="258">
        <f>[2]Base!DZ334</f>
        <v>1797</v>
      </c>
      <c r="M334" s="259">
        <f>[2]Base!AO334</f>
        <v>362700000</v>
      </c>
      <c r="N334" s="259">
        <f>[2]Base!AP334</f>
        <v>0</v>
      </c>
      <c r="O334" s="259">
        <f>[2]Base!AQ334</f>
        <v>362700000</v>
      </c>
      <c r="P334" s="258">
        <f>+[2]Base!ED334</f>
        <v>87623511.22170414</v>
      </c>
      <c r="Q334" s="260">
        <f>'[1]SITE (Imprensa)_PT'!P334</f>
        <v>1.0085470085470086E-3</v>
      </c>
      <c r="R334" s="210">
        <f>'[1]SITE (Imprensa)_PT'!Q334</f>
        <v>0.82035811965811967</v>
      </c>
      <c r="S334" s="210">
        <f>'[1]SITE (Imprensa)_PT'!R334</f>
        <v>0.11709401709401709</v>
      </c>
      <c r="T334" s="212">
        <f>'[1]SITE (Imprensa)_PT'!S334</f>
        <v>6.1539316239316237E-2</v>
      </c>
      <c r="U334" s="1"/>
    </row>
    <row r="335" spans="2:21" ht="13.2" x14ac:dyDescent="0.25">
      <c r="B335" s="40" t="str">
        <f>[2]Base!A335</f>
        <v>OMEGA GER</v>
      </c>
      <c r="C335" s="41" t="str">
        <f>[2]Base!C335</f>
        <v>NM</v>
      </c>
      <c r="D335" s="213" t="s">
        <v>126</v>
      </c>
      <c r="E335" s="223" t="str">
        <f>[2]Base!M335</f>
        <v>BofA Merrill Lynch</v>
      </c>
      <c r="F335" s="52" t="str">
        <f>[2]Base!F335</f>
        <v>FOLLOW-ON</v>
      </c>
      <c r="G335" s="52" t="str">
        <f>[2]Base!G335</f>
        <v>ICVM 476</v>
      </c>
      <c r="H335" s="53">
        <f>[2]Base!X335</f>
        <v>43733</v>
      </c>
      <c r="I335" s="198">
        <f>[2]Base!W335</f>
        <v>30</v>
      </c>
      <c r="J335" s="227">
        <f>[2]Base!J335</f>
        <v>43735</v>
      </c>
      <c r="K335" s="258">
        <f>'[1]SITE (Imprensa)_PT'!K335</f>
        <v>148</v>
      </c>
      <c r="L335" s="258">
        <f>[2]Base!DZ335</f>
        <v>358</v>
      </c>
      <c r="M335" s="259">
        <f>[2]Base!AO335</f>
        <v>830769240</v>
      </c>
      <c r="N335" s="259">
        <f>[2]Base!AP335</f>
        <v>0</v>
      </c>
      <c r="O335" s="259">
        <f>[2]Base!AQ335</f>
        <v>830769240</v>
      </c>
      <c r="P335" s="258">
        <f>+[2]Base!ED335</f>
        <v>199766571.28429559</v>
      </c>
      <c r="Q335" s="260">
        <f>'[1]SITE (Imprensa)_PT'!P335</f>
        <v>1.1244638763948458E-3</v>
      </c>
      <c r="R335" s="210">
        <f>'[1]SITE (Imprensa)_PT'!Q335</f>
        <v>0.64772701502525543</v>
      </c>
      <c r="S335" s="210">
        <f>'[1]SITE (Imprensa)_PT'!R335</f>
        <v>0.35114852109834976</v>
      </c>
      <c r="T335" s="212">
        <f>'[1]SITE (Imprensa)_PT'!S335</f>
        <v>0</v>
      </c>
      <c r="U335" s="1"/>
    </row>
    <row r="336" spans="2:21" ht="13.2" x14ac:dyDescent="0.25">
      <c r="B336" s="40" t="str">
        <f>[2]Base!A336</f>
        <v>EZTEC</v>
      </c>
      <c r="C336" s="41" t="str">
        <f>[2]Base!C336</f>
        <v>NM</v>
      </c>
      <c r="D336" s="213" t="s">
        <v>82</v>
      </c>
      <c r="E336" s="223" t="str">
        <f>[2]Base!M336</f>
        <v>BTG Pactual</v>
      </c>
      <c r="F336" s="52" t="str">
        <f>[2]Base!F336</f>
        <v>FOLLOW-ON</v>
      </c>
      <c r="G336" s="52" t="str">
        <f>[2]Base!G336</f>
        <v>ICVM 476</v>
      </c>
      <c r="H336" s="53">
        <f>[2]Base!X336</f>
        <v>43732</v>
      </c>
      <c r="I336" s="198">
        <f>[2]Base!W336</f>
        <v>36.25</v>
      </c>
      <c r="J336" s="227">
        <f>[2]Base!J336</f>
        <v>43734</v>
      </c>
      <c r="K336" s="258">
        <f>'[1]SITE (Imprensa)_PT'!K336</f>
        <v>0</v>
      </c>
      <c r="L336" s="258">
        <f>[2]Base!DZ336</f>
        <v>889</v>
      </c>
      <c r="M336" s="259">
        <f>[2]Base!AO336</f>
        <v>978750000</v>
      </c>
      <c r="N336" s="259">
        <f>[2]Base!AP336</f>
        <v>0</v>
      </c>
      <c r="O336" s="259">
        <f>[2]Base!AQ336</f>
        <v>978750000</v>
      </c>
      <c r="P336" s="258">
        <f>+[2]Base!ED336</f>
        <v>236019677.34934533</v>
      </c>
      <c r="Q336" s="260">
        <f>'[1]SITE (Imprensa)_PT'!P336</f>
        <v>0</v>
      </c>
      <c r="R336" s="210">
        <f>'[1]SITE (Imprensa)_PT'!Q336</f>
        <v>0.66978566666666661</v>
      </c>
      <c r="S336" s="210">
        <f>'[1]SITE (Imprensa)_PT'!R336</f>
        <v>0.20166666666666666</v>
      </c>
      <c r="T336" s="212">
        <f>'[1]SITE (Imprensa)_PT'!S336</f>
        <v>0.12854766666666667</v>
      </c>
      <c r="U336" s="1"/>
    </row>
    <row r="337" spans="2:21" ht="13.2" x14ac:dyDescent="0.25">
      <c r="B337" s="40" t="str">
        <f>[2]Base!A337</f>
        <v>HELBOR</v>
      </c>
      <c r="C337" s="41" t="str">
        <f>[2]Base!C337</f>
        <v>NM</v>
      </c>
      <c r="D337" s="213" t="s">
        <v>82</v>
      </c>
      <c r="E337" s="223" t="str">
        <f>[2]Base!M337</f>
        <v>BTG Pactual</v>
      </c>
      <c r="F337" s="52" t="str">
        <f>[2]Base!F337</f>
        <v>FOLLOW-ON</v>
      </c>
      <c r="G337" s="52" t="str">
        <f>[2]Base!G337</f>
        <v>ICVM 476</v>
      </c>
      <c r="H337" s="53">
        <f>[2]Base!X337</f>
        <v>43718</v>
      </c>
      <c r="I337" s="198">
        <f>[2]Base!W337</f>
        <v>2.65</v>
      </c>
      <c r="J337" s="227">
        <f>[2]Base!J337</f>
        <v>43752</v>
      </c>
      <c r="K337" s="258">
        <f>'[1]SITE (Imprensa)_PT'!K337</f>
        <v>0</v>
      </c>
      <c r="L337" s="258">
        <f>[2]Base!DZ337</f>
        <v>581</v>
      </c>
      <c r="M337" s="259">
        <f>[2]Base!AO337</f>
        <v>560057625</v>
      </c>
      <c r="N337" s="259">
        <f>[2]Base!AP337</f>
        <v>0</v>
      </c>
      <c r="O337" s="259">
        <f>[2]Base!AQ337</f>
        <v>560057625</v>
      </c>
      <c r="P337" s="258">
        <f>+[2]Base!ED337</f>
        <v>135728770.32692727</v>
      </c>
      <c r="Q337" s="260">
        <f>'[1]SITE (Imprensa)_PT'!P337</f>
        <v>3.9135526455871391E-3</v>
      </c>
      <c r="R337" s="210">
        <f>'[1]SITE (Imprensa)_PT'!Q337</f>
        <v>0.47377299880525686</v>
      </c>
      <c r="S337" s="210">
        <f>'[1]SITE (Imprensa)_PT'!R337</f>
        <v>0.15100507470101848</v>
      </c>
      <c r="T337" s="212">
        <f>'[1]SITE (Imprensa)_PT'!S337</f>
        <v>0.37130837384813753</v>
      </c>
      <c r="U337" s="1"/>
    </row>
    <row r="338" spans="2:21" ht="13.2" x14ac:dyDescent="0.25">
      <c r="B338" s="40" t="str">
        <f>[2]Base!A338</f>
        <v>VIVARA S.A.</v>
      </c>
      <c r="C338" s="41" t="str">
        <f>[2]Base!C338</f>
        <v>NM</v>
      </c>
      <c r="D338" s="213" t="s">
        <v>121</v>
      </c>
      <c r="E338" s="223" t="str">
        <f>[2]Base!M338</f>
        <v>Itaú BBA</v>
      </c>
      <c r="F338" s="52" t="str">
        <f>[2]Base!F338</f>
        <v>IPO</v>
      </c>
      <c r="G338" s="52" t="str">
        <f>[2]Base!G338</f>
        <v>ICVM 400</v>
      </c>
      <c r="H338" s="53">
        <f>[2]Base!X338</f>
        <v>43746</v>
      </c>
      <c r="I338" s="198">
        <f>[2]Base!W338</f>
        <v>24</v>
      </c>
      <c r="J338" s="227">
        <f>[2]Base!J338</f>
        <v>43748</v>
      </c>
      <c r="K338" s="258">
        <f>'[1]SITE (Imprensa)_PT'!K338</f>
        <v>26986</v>
      </c>
      <c r="L338" s="258">
        <f>[2]Base!DZ338</f>
        <v>27872</v>
      </c>
      <c r="M338" s="259">
        <f>[2]Base!AO338</f>
        <v>453471888</v>
      </c>
      <c r="N338" s="259">
        <f>[2]Base!AP338</f>
        <v>1787377536</v>
      </c>
      <c r="O338" s="259">
        <f>[2]Base!AQ338</f>
        <v>2240849424</v>
      </c>
      <c r="P338" s="258">
        <f>+[2]Base!ED338</f>
        <v>544622535.9095881</v>
      </c>
      <c r="Q338" s="260">
        <f>'[1]SITE (Imprensa)_PT'!P338</f>
        <v>0.12756181833513555</v>
      </c>
      <c r="R338" s="210">
        <f>'[1]SITE (Imprensa)_PT'!Q338</f>
        <v>0.56323525110119022</v>
      </c>
      <c r="S338" s="210">
        <f>'[1]SITE (Imprensa)_PT'!R338</f>
        <v>0.30499752305768485</v>
      </c>
      <c r="T338" s="212">
        <f>'[1]SITE (Imprensa)_PT'!S338</f>
        <v>4.2054075059893324E-3</v>
      </c>
      <c r="U338" s="1"/>
    </row>
    <row r="339" spans="2:21" ht="13.2" x14ac:dyDescent="0.25">
      <c r="B339" s="40" t="str">
        <f>[2]Base!A339</f>
        <v>BRASIL</v>
      </c>
      <c r="C339" s="41" t="str">
        <f>[2]Base!C339</f>
        <v>NM</v>
      </c>
      <c r="D339" s="213" t="s">
        <v>67</v>
      </c>
      <c r="E339" s="223" t="str">
        <f>[2]Base!M339</f>
        <v>Caixa</v>
      </c>
      <c r="F339" s="52" t="str">
        <f>[2]Base!F339</f>
        <v>FOLLOW-ON</v>
      </c>
      <c r="G339" s="52" t="str">
        <f>[2]Base!G339</f>
        <v>ICVM 400</v>
      </c>
      <c r="H339" s="53">
        <f>[2]Base!X339</f>
        <v>43755</v>
      </c>
      <c r="I339" s="198">
        <f>[2]Base!W339</f>
        <v>44.05</v>
      </c>
      <c r="J339" s="227">
        <f>[2]Base!J339</f>
        <v>43759</v>
      </c>
      <c r="K339" s="258">
        <f>'[1]SITE (Imprensa)_PT'!K339</f>
        <v>29222</v>
      </c>
      <c r="L339" s="258">
        <f>[2]Base!DZ339</f>
        <v>30039</v>
      </c>
      <c r="M339" s="259">
        <f>[2]Base!AO339</f>
        <v>0</v>
      </c>
      <c r="N339" s="259">
        <f>[2]Base!AP339</f>
        <v>5836921764.8499994</v>
      </c>
      <c r="O339" s="259">
        <f>[2]Base!AQ339</f>
        <v>5836921764.8499994</v>
      </c>
      <c r="P339" s="258">
        <f>+[2]Base!ED339</f>
        <v>1412648361.4922917</v>
      </c>
      <c r="Q339" s="260">
        <f>'[1]SITE (Imprensa)_PT'!P339</f>
        <v>0.31500656453414894</v>
      </c>
      <c r="R339" s="210">
        <f>'[1]SITE (Imprensa)_PT'!Q339</f>
        <v>0.37245822452031252</v>
      </c>
      <c r="S339" s="210">
        <f>'[1]SITE (Imprensa)_PT'!R339</f>
        <v>0.30210823167428835</v>
      </c>
      <c r="T339" s="212">
        <f>'[1]SITE (Imprensa)_PT'!S339</f>
        <v>9.0145227861131334E-3</v>
      </c>
      <c r="U339" s="1"/>
    </row>
    <row r="340" spans="2:21" ht="13.2" x14ac:dyDescent="0.25">
      <c r="B340" s="40" t="str">
        <f>[2]Base!A340</f>
        <v>LOG COM PROP</v>
      </c>
      <c r="C340" s="41" t="str">
        <f>[2]Base!C340</f>
        <v>NM</v>
      </c>
      <c r="D340" s="213" t="s">
        <v>82</v>
      </c>
      <c r="E340" s="223" t="str">
        <f>[2]Base!M340</f>
        <v>BTG Pactual</v>
      </c>
      <c r="F340" s="52" t="str">
        <f>[2]Base!F340</f>
        <v>FOLLOW-ON</v>
      </c>
      <c r="G340" s="52" t="str">
        <f>[2]Base!G340</f>
        <v>ICVM 476</v>
      </c>
      <c r="H340" s="53">
        <f>[2]Base!X340</f>
        <v>43760</v>
      </c>
      <c r="I340" s="198">
        <f>[2]Base!W340</f>
        <v>22.5</v>
      </c>
      <c r="J340" s="227">
        <f>[2]Base!J340</f>
        <v>43762</v>
      </c>
      <c r="K340" s="258">
        <f>'[1]SITE (Imprensa)_PT'!K340</f>
        <v>0</v>
      </c>
      <c r="L340" s="258">
        <f>[2]Base!DZ340</f>
        <v>988</v>
      </c>
      <c r="M340" s="259">
        <f>[2]Base!AO340</f>
        <v>637875000</v>
      </c>
      <c r="N340" s="259">
        <f>[2]Base!AP340</f>
        <v>0</v>
      </c>
      <c r="O340" s="259">
        <f>[2]Base!AQ340</f>
        <v>637875000</v>
      </c>
      <c r="P340" s="258">
        <f>+[2]Base!ED340</f>
        <v>159114719.74855947</v>
      </c>
      <c r="Q340" s="260">
        <f>'[1]SITE (Imprensa)_PT'!P340</f>
        <v>0</v>
      </c>
      <c r="R340" s="210">
        <f>'[1]SITE (Imprensa)_PT'!Q340</f>
        <v>0.38003679012345681</v>
      </c>
      <c r="S340" s="210">
        <f>'[1]SITE (Imprensa)_PT'!R340</f>
        <v>0.18307904761904761</v>
      </c>
      <c r="T340" s="212">
        <f>'[1]SITE (Imprensa)_PT'!S340</f>
        <v>0.4368841622574956</v>
      </c>
      <c r="U340" s="1"/>
    </row>
    <row r="341" spans="2:21" ht="13.2" x14ac:dyDescent="0.25">
      <c r="B341" s="40" t="str">
        <f>[2]Base!A341</f>
        <v>CYRE COM-CCP</v>
      </c>
      <c r="C341" s="41" t="str">
        <f>[2]Base!C341</f>
        <v>NM</v>
      </c>
      <c r="D341" s="213" t="s">
        <v>82</v>
      </c>
      <c r="E341" s="223" t="str">
        <f>[2]Base!M341</f>
        <v>Bradesco BBI</v>
      </c>
      <c r="F341" s="52" t="str">
        <f>[2]Base!F341</f>
        <v>FOLLOW-ON</v>
      </c>
      <c r="G341" s="52" t="str">
        <f>[2]Base!G341</f>
        <v>ICVM 400</v>
      </c>
      <c r="H341" s="53">
        <f>[2]Base!X341</f>
        <v>43766</v>
      </c>
      <c r="I341" s="198">
        <f>[2]Base!W341</f>
        <v>19</v>
      </c>
      <c r="J341" s="227">
        <f>[2]Base!J341</f>
        <v>43768</v>
      </c>
      <c r="K341" s="258">
        <f>'[1]SITE (Imprensa)_PT'!K341</f>
        <v>1087</v>
      </c>
      <c r="L341" s="258">
        <f>[2]Base!DZ341</f>
        <v>1329</v>
      </c>
      <c r="M341" s="259">
        <f>[2]Base!AO341</f>
        <v>863550000</v>
      </c>
      <c r="N341" s="259">
        <f>[2]Base!AP341</f>
        <v>0</v>
      </c>
      <c r="O341" s="259">
        <f>[2]Base!AQ341</f>
        <v>863550000</v>
      </c>
      <c r="P341" s="258">
        <f>+[2]Base!ED341</f>
        <v>214888269.54660827</v>
      </c>
      <c r="Q341" s="260">
        <f>'[1]SITE (Imprensa)_PT'!P341</f>
        <v>9.2730434782608701E-2</v>
      </c>
      <c r="R341" s="210">
        <f>'[1]SITE (Imprensa)_PT'!Q341</f>
        <v>0.56746115217391302</v>
      </c>
      <c r="S341" s="210">
        <f>'[1]SITE (Imprensa)_PT'!R341</f>
        <v>0.28455195652173915</v>
      </c>
      <c r="T341" s="212">
        <f>'[1]SITE (Imprensa)_PT'!S341</f>
        <v>5.5256456521739133E-2</v>
      </c>
      <c r="U341" s="1"/>
    </row>
    <row r="342" spans="2:21" ht="13.2" x14ac:dyDescent="0.25">
      <c r="B342" s="40" t="str">
        <f>[2]Base!A342</f>
        <v>LOPES BRASIL</v>
      </c>
      <c r="C342" s="41" t="str">
        <f>[2]Base!C342</f>
        <v>NM</v>
      </c>
      <c r="D342" s="213" t="s">
        <v>116</v>
      </c>
      <c r="E342" s="223" t="str">
        <f>[2]Base!M342</f>
        <v>Itaú BBA</v>
      </c>
      <c r="F342" s="52" t="str">
        <f>[2]Base!F342</f>
        <v>FOLLOW-ON</v>
      </c>
      <c r="G342" s="52" t="str">
        <f>[2]Base!G342</f>
        <v>ICVM 476</v>
      </c>
      <c r="H342" s="53">
        <f>[2]Base!X342</f>
        <v>43767</v>
      </c>
      <c r="I342" s="198">
        <f>[2]Base!W342</f>
        <v>7</v>
      </c>
      <c r="J342" s="227">
        <f>[2]Base!J342</f>
        <v>43769</v>
      </c>
      <c r="K342" s="258">
        <f>'[1]SITE (Imprensa)_PT'!K342</f>
        <v>456</v>
      </c>
      <c r="L342" s="258">
        <f>[2]Base!DZ342</f>
        <v>548</v>
      </c>
      <c r="M342" s="259">
        <f>[2]Base!AO342</f>
        <v>147000000</v>
      </c>
      <c r="N342" s="259">
        <f>[2]Base!AP342</f>
        <v>0</v>
      </c>
      <c r="O342" s="259">
        <f>[2]Base!AQ342</f>
        <v>147000000</v>
      </c>
      <c r="P342" s="258">
        <f>+[2]Base!ED342</f>
        <v>36712369.820933543</v>
      </c>
      <c r="Q342" s="260">
        <f>'[1]SITE (Imprensa)_PT'!P342</f>
        <v>1.0624095238095238E-2</v>
      </c>
      <c r="R342" s="210">
        <f>'[1]SITE (Imprensa)_PT'!Q342</f>
        <v>0.72731090476190474</v>
      </c>
      <c r="S342" s="210">
        <f>'[1]SITE (Imprensa)_PT'!R342</f>
        <v>0.26196585714285714</v>
      </c>
      <c r="T342" s="212">
        <f>'[1]SITE (Imprensa)_PT'!S342</f>
        <v>9.9142857142857146E-5</v>
      </c>
      <c r="U342" s="1"/>
    </row>
    <row r="343" spans="2:21" ht="13.2" x14ac:dyDescent="0.25">
      <c r="B343" s="40" t="str">
        <f>[2]Base!A343</f>
        <v>BANCO BMG</v>
      </c>
      <c r="C343" s="41" t="str">
        <f>[2]Base!C343</f>
        <v>N1</v>
      </c>
      <c r="D343" s="213" t="s">
        <v>67</v>
      </c>
      <c r="E343" s="223" t="str">
        <f>[2]Base!M343</f>
        <v>XP Investimentos</v>
      </c>
      <c r="F343" s="52" t="str">
        <f>[2]Base!F343</f>
        <v>IPO</v>
      </c>
      <c r="G343" s="52" t="str">
        <f>[2]Base!G343</f>
        <v>ICVM 400</v>
      </c>
      <c r="H343" s="53">
        <f>[2]Base!X343</f>
        <v>43762</v>
      </c>
      <c r="I343" s="198">
        <f>[2]Base!W343</f>
        <v>11.6</v>
      </c>
      <c r="J343" s="227">
        <f>[2]Base!J343</f>
        <v>43766</v>
      </c>
      <c r="K343" s="258">
        <f>'[1]SITE (Imprensa)_PT'!K343</f>
        <v>4703</v>
      </c>
      <c r="L343" s="258">
        <f>[2]Base!DZ343</f>
        <v>5252</v>
      </c>
      <c r="M343" s="259">
        <f>[2]Base!AO343</f>
        <v>1200000013.2</v>
      </c>
      <c r="N343" s="259">
        <f>[2]Base!AP343</f>
        <v>191304358</v>
      </c>
      <c r="O343" s="259">
        <f>[2]Base!AQ343</f>
        <v>1391304371.2</v>
      </c>
      <c r="P343" s="258">
        <f>+[2]Base!ED343</f>
        <v>349635456.28628153</v>
      </c>
      <c r="Q343" s="260">
        <f>'[1]SITE (Imprensa)_PT'!P343</f>
        <v>0.10140722788452047</v>
      </c>
      <c r="R343" s="210">
        <f>'[1]SITE (Imprensa)_PT'!Q343</f>
        <v>0.61375558724868851</v>
      </c>
      <c r="S343" s="210">
        <f>'[1]SITE (Imprensa)_PT'!R343</f>
        <v>0.2746679579786524</v>
      </c>
      <c r="T343" s="212">
        <f>'[1]SITE (Imprensa)_PT'!S343</f>
        <v>1.0169226888138504E-2</v>
      </c>
      <c r="U343" s="1"/>
    </row>
    <row r="344" spans="2:21" ht="13.2" x14ac:dyDescent="0.25">
      <c r="B344" s="40" t="str">
        <f>[2]Base!A344</f>
        <v>CEA MODAS</v>
      </c>
      <c r="C344" s="41" t="str">
        <f>[2]Base!C344</f>
        <v>NM</v>
      </c>
      <c r="D344" s="213" t="s">
        <v>138</v>
      </c>
      <c r="E344" s="223" t="str">
        <f>[2]Base!M344</f>
        <v>Morgan Stanley</v>
      </c>
      <c r="F344" s="52" t="str">
        <f>[2]Base!F344</f>
        <v>IPO</v>
      </c>
      <c r="G344" s="52" t="str">
        <f>[2]Base!G344</f>
        <v>ICVM 400</v>
      </c>
      <c r="H344" s="53">
        <f>[2]Base!X344</f>
        <v>43762</v>
      </c>
      <c r="I344" s="198">
        <f>[2]Base!W344</f>
        <v>16.5</v>
      </c>
      <c r="J344" s="227">
        <f>[2]Base!J344</f>
        <v>43766</v>
      </c>
      <c r="K344" s="258">
        <f>'[1]SITE (Imprensa)_PT'!K344</f>
        <v>4247</v>
      </c>
      <c r="L344" s="258">
        <f>[2]Base!DZ344</f>
        <v>4724</v>
      </c>
      <c r="M344" s="259">
        <f>[2]Base!AO344</f>
        <v>813698622</v>
      </c>
      <c r="N344" s="259">
        <f>[2]Base!AP344</f>
        <v>941070009</v>
      </c>
      <c r="O344" s="259">
        <f>[2]Base!AQ344</f>
        <v>1754768631</v>
      </c>
      <c r="P344" s="258">
        <f>+[2]Base!ED344</f>
        <v>440974199.23102057</v>
      </c>
      <c r="Q344" s="260">
        <f>'[1]SITE (Imprensa)_PT'!P344</f>
        <v>9.6985583330420844E-2</v>
      </c>
      <c r="R344" s="210">
        <f>'[1]SITE (Imprensa)_PT'!Q344</f>
        <v>0.50624742055424221</v>
      </c>
      <c r="S344" s="210">
        <f>'[1]SITE (Imprensa)_PT'!R344</f>
        <v>0.39321048149407806</v>
      </c>
      <c r="T344" s="212">
        <f>'[1]SITE (Imprensa)_PT'!S344</f>
        <v>3.5565146212588202E-3</v>
      </c>
      <c r="U344" s="1"/>
    </row>
    <row r="345" spans="2:21" ht="13.2" x14ac:dyDescent="0.25">
      <c r="B345" s="40" t="str">
        <f>[2]Base!A345</f>
        <v>MAGAZ LUIZA</v>
      </c>
      <c r="C345" s="41" t="str">
        <f>[2]Base!C345</f>
        <v>NM</v>
      </c>
      <c r="D345" s="213" t="s">
        <v>120</v>
      </c>
      <c r="E345" s="223" t="str">
        <f>[2]Base!M345</f>
        <v>Itaú BBA</v>
      </c>
      <c r="F345" s="52" t="str">
        <f>[2]Base!F345</f>
        <v>FOLLOW-ON</v>
      </c>
      <c r="G345" s="52" t="str">
        <f>[2]Base!G345</f>
        <v>ICVM 476</v>
      </c>
      <c r="H345" s="53">
        <f>[2]Base!X345</f>
        <v>43781</v>
      </c>
      <c r="I345" s="198">
        <f>[2]Base!W345</f>
        <v>43</v>
      </c>
      <c r="J345" s="227">
        <f>[2]Base!J345</f>
        <v>43783</v>
      </c>
      <c r="K345" s="258">
        <f>'[1]SITE (Imprensa)_PT'!K345</f>
        <v>2870</v>
      </c>
      <c r="L345" s="258">
        <f>[2]Base!DZ345</f>
        <v>3803</v>
      </c>
      <c r="M345" s="259">
        <f>[2]Base!AO345</f>
        <v>4300000000</v>
      </c>
      <c r="N345" s="259">
        <f>[2]Base!AP345</f>
        <v>430000000</v>
      </c>
      <c r="O345" s="259">
        <f>[2]Base!AQ345</f>
        <v>4730000000</v>
      </c>
      <c r="P345" s="258">
        <f>+[2]Base!ED345</f>
        <v>1130740360.0200808</v>
      </c>
      <c r="Q345" s="260">
        <f>'[1]SITE (Imprensa)_PT'!P345</f>
        <v>2.447681818181818E-3</v>
      </c>
      <c r="R345" s="210">
        <f>'[1]SITE (Imprensa)_PT'!Q345</f>
        <v>0.56667219999999996</v>
      </c>
      <c r="S345" s="210">
        <f>'[1]SITE (Imprensa)_PT'!R345</f>
        <v>0.42326165454545456</v>
      </c>
      <c r="T345" s="212">
        <f>'[1]SITE (Imprensa)_PT'!S345</f>
        <v>7.6184636363636361E-3</v>
      </c>
      <c r="U345" s="1"/>
    </row>
    <row r="346" spans="2:21" ht="13.2" x14ac:dyDescent="0.25">
      <c r="B346" s="40" t="str">
        <f>[2]Base!A346</f>
        <v>JHSF PART</v>
      </c>
      <c r="C346" s="41" t="str">
        <f>[2]Base!C346</f>
        <v>NM</v>
      </c>
      <c r="D346" s="213" t="s">
        <v>82</v>
      </c>
      <c r="E346" s="223" t="str">
        <f>[2]Base!M346</f>
        <v>BTG Pactual</v>
      </c>
      <c r="F346" s="52" t="str">
        <f>[2]Base!F346</f>
        <v>FOLLOW-ON</v>
      </c>
      <c r="G346" s="52" t="str">
        <f>[2]Base!G346</f>
        <v>ICVM 476</v>
      </c>
      <c r="H346" s="53">
        <f>[2]Base!X346</f>
        <v>43782</v>
      </c>
      <c r="I346" s="198">
        <f>[2]Base!W346</f>
        <v>4.75</v>
      </c>
      <c r="J346" s="227">
        <f>[2]Base!J346</f>
        <v>43787</v>
      </c>
      <c r="K346" s="258">
        <f>'[1]SITE (Imprensa)_PT'!K346</f>
        <v>0</v>
      </c>
      <c r="L346" s="258">
        <f>[2]Base!DZ346</f>
        <v>1619</v>
      </c>
      <c r="M346" s="259">
        <f>[2]Base!AO346</f>
        <v>513000000</v>
      </c>
      <c r="N346" s="259">
        <f>[2]Base!AP346</f>
        <v>0</v>
      </c>
      <c r="O346" s="259">
        <f>[2]Base!AQ346</f>
        <v>513000000</v>
      </c>
      <c r="P346" s="258">
        <f>+[2]Base!ED346</f>
        <v>122648050.30243623</v>
      </c>
      <c r="Q346" s="260">
        <f>'[1]SITE (Imprensa)_PT'!P346</f>
        <v>0</v>
      </c>
      <c r="R346" s="210">
        <f>'[1]SITE (Imprensa)_PT'!Q346</f>
        <v>0.55287562962962966</v>
      </c>
      <c r="S346" s="210">
        <f>'[1]SITE (Imprensa)_PT'!R346</f>
        <v>0.38842592592592595</v>
      </c>
      <c r="T346" s="212">
        <f>'[1]SITE (Imprensa)_PT'!S346</f>
        <v>5.8698444444444442E-2</v>
      </c>
      <c r="U346" s="1"/>
    </row>
    <row r="347" spans="2:21" ht="13.2" x14ac:dyDescent="0.25">
      <c r="B347" s="40" t="str">
        <f>[2]Base!A347</f>
        <v>LOG-IN</v>
      </c>
      <c r="C347" s="41" t="str">
        <f>[2]Base!C347</f>
        <v>NM</v>
      </c>
      <c r="D347" s="213" t="s">
        <v>143</v>
      </c>
      <c r="E347" s="223" t="str">
        <f>[2]Base!M347</f>
        <v>Goldman Sachs</v>
      </c>
      <c r="F347" s="52" t="str">
        <f>[2]Base!F347</f>
        <v>FOLLOW-ON</v>
      </c>
      <c r="G347" s="52" t="str">
        <f>[2]Base!G347</f>
        <v>ICVM 476</v>
      </c>
      <c r="H347" s="53">
        <f>[2]Base!X347</f>
        <v>43790</v>
      </c>
      <c r="I347" s="198">
        <f>[2]Base!W347</f>
        <v>14.5</v>
      </c>
      <c r="J347" s="227">
        <f>[2]Base!J347</f>
        <v>43794</v>
      </c>
      <c r="K347" s="258">
        <f>'[1]SITE (Imprensa)_PT'!K347</f>
        <v>0</v>
      </c>
      <c r="L347" s="258">
        <f>[2]Base!DZ347</f>
        <v>421</v>
      </c>
      <c r="M347" s="259">
        <f>[2]Base!AO347</f>
        <v>633650000</v>
      </c>
      <c r="N347" s="259">
        <f>[2]Base!AP347</f>
        <v>0</v>
      </c>
      <c r="O347" s="259">
        <f>[2]Base!AQ347</f>
        <v>633650000</v>
      </c>
      <c r="P347" s="258">
        <f>+[2]Base!ED347</f>
        <v>148887426.86623278</v>
      </c>
      <c r="Q347" s="260">
        <f>'[1]SITE (Imprensa)_PT'!P347</f>
        <v>0</v>
      </c>
      <c r="R347" s="210">
        <f>'[1]SITE (Imprensa)_PT'!Q347</f>
        <v>0.56635983981693361</v>
      </c>
      <c r="S347" s="210">
        <f>'[1]SITE (Imprensa)_PT'!R347</f>
        <v>0.35230114416475972</v>
      </c>
      <c r="T347" s="212">
        <f>'[1]SITE (Imprensa)_PT'!S347</f>
        <v>8.1339016018306634E-2</v>
      </c>
      <c r="U347" s="1"/>
    </row>
    <row r="348" spans="2:21" ht="13.2" x14ac:dyDescent="0.25">
      <c r="B348" s="40" t="str">
        <f>[2]Base!A348</f>
        <v>BR PROPERT</v>
      </c>
      <c r="C348" s="41" t="str">
        <f>[2]Base!C348</f>
        <v>NM</v>
      </c>
      <c r="D348" s="213" t="s">
        <v>82</v>
      </c>
      <c r="E348" s="223" t="str">
        <f>[2]Base!M348</f>
        <v>Itaú BBA</v>
      </c>
      <c r="F348" s="52" t="str">
        <f>[2]Base!F348</f>
        <v>FOLLOW-ON</v>
      </c>
      <c r="G348" s="52" t="str">
        <f>[2]Base!G348</f>
        <v>ICVM 476</v>
      </c>
      <c r="H348" s="53">
        <f>[2]Base!X348</f>
        <v>43790</v>
      </c>
      <c r="I348" s="198">
        <f>[2]Base!W348</f>
        <v>12.5</v>
      </c>
      <c r="J348" s="227">
        <f>[2]Base!J348</f>
        <v>43794</v>
      </c>
      <c r="K348" s="258">
        <f>'[1]SITE (Imprensa)_PT'!K348</f>
        <v>51</v>
      </c>
      <c r="L348" s="258">
        <f>[2]Base!DZ348</f>
        <v>299</v>
      </c>
      <c r="M348" s="259">
        <f>[2]Base!AO348</f>
        <v>1054687500</v>
      </c>
      <c r="N348" s="259">
        <f>[2]Base!AP348</f>
        <v>0</v>
      </c>
      <c r="O348" s="259">
        <f>[2]Base!AQ348</f>
        <v>1054687500</v>
      </c>
      <c r="P348" s="258">
        <f>+[2]Base!ED348</f>
        <v>247817735.37912077</v>
      </c>
      <c r="Q348" s="260">
        <f>'[1]SITE (Imprensa)_PT'!P348</f>
        <v>4.4242962962962962E-4</v>
      </c>
      <c r="R348" s="210">
        <f>'[1]SITE (Imprensa)_PT'!Q348</f>
        <v>0.53270363259259257</v>
      </c>
      <c r="S348" s="210">
        <f>'[1]SITE (Imprensa)_PT'!R348</f>
        <v>0.46446416592592593</v>
      </c>
      <c r="T348" s="212">
        <f>'[1]SITE (Imprensa)_PT'!S348</f>
        <v>2.3897718518518518E-3</v>
      </c>
      <c r="U348" s="1"/>
    </row>
    <row r="349" spans="2:21" ht="13.2" x14ac:dyDescent="0.25">
      <c r="B349" s="40" t="str">
        <f>[2]Base!A349</f>
        <v>LOJAS MARISA</v>
      </c>
      <c r="C349" s="41" t="str">
        <f>[2]Base!C349</f>
        <v>NM</v>
      </c>
      <c r="D349" s="213" t="s">
        <v>138</v>
      </c>
      <c r="E349" s="223" t="str">
        <f>[2]Base!M349</f>
        <v>Itaú BBA</v>
      </c>
      <c r="F349" s="52" t="str">
        <f>[2]Base!F349</f>
        <v>FOLLOW-ON</v>
      </c>
      <c r="G349" s="52" t="str">
        <f>[2]Base!G349</f>
        <v>ICVM 476</v>
      </c>
      <c r="H349" s="53">
        <f>[2]Base!X349</f>
        <v>43803</v>
      </c>
      <c r="I349" s="198">
        <f>[2]Base!W349</f>
        <v>10</v>
      </c>
      <c r="J349" s="227">
        <f>[2]Base!J349</f>
        <v>43805</v>
      </c>
      <c r="K349" s="258">
        <f>'[1]SITE (Imprensa)_PT'!K349</f>
        <v>130</v>
      </c>
      <c r="L349" s="258">
        <f>[2]Base!DZ349</f>
        <v>374</v>
      </c>
      <c r="M349" s="259">
        <f>[2]Base!AO349</f>
        <v>567708330</v>
      </c>
      <c r="N349" s="259">
        <f>[2]Base!AP349</f>
        <v>0</v>
      </c>
      <c r="O349" s="259">
        <f>[2]Base!AQ349</f>
        <v>567708330</v>
      </c>
      <c r="P349" s="258">
        <f>+[2]Base!ED349</f>
        <v>135870648.34980732</v>
      </c>
      <c r="Q349" s="260">
        <f>'[1]SITE (Imprensa)_PT'!P349</f>
        <v>3.3597181848644005E-3</v>
      </c>
      <c r="R349" s="210">
        <f>'[1]SITE (Imprensa)_PT'!Q349</f>
        <v>0.66781627107708641</v>
      </c>
      <c r="S349" s="210">
        <f>'[1]SITE (Imprensa)_PT'!R349</f>
        <v>0.29617224394082786</v>
      </c>
      <c r="T349" s="212">
        <f>'[1]SITE (Imprensa)_PT'!S349</f>
        <v>3.2651766797221385E-2</v>
      </c>
      <c r="U349" s="1"/>
    </row>
    <row r="350" spans="2:21" ht="13.2" x14ac:dyDescent="0.25">
      <c r="B350" s="40" t="str">
        <f>[2]Base!A350</f>
        <v>ALIANSCSONAE</v>
      </c>
      <c r="C350" s="41" t="str">
        <f>[2]Base!C350</f>
        <v>NM</v>
      </c>
      <c r="D350" s="213" t="s">
        <v>82</v>
      </c>
      <c r="E350" s="223" t="str">
        <f>[2]Base!M350</f>
        <v>Bank of America</v>
      </c>
      <c r="F350" s="52" t="str">
        <f>[2]Base!F350</f>
        <v>FOLLOW-ON</v>
      </c>
      <c r="G350" s="52" t="str">
        <f>[2]Base!G350</f>
        <v>ICVM 476</v>
      </c>
      <c r="H350" s="53">
        <f>[2]Base!X350</f>
        <v>43804</v>
      </c>
      <c r="I350" s="198">
        <f>[2]Base!W350</f>
        <v>43</v>
      </c>
      <c r="J350" s="227">
        <f>[2]Base!J350</f>
        <v>43808</v>
      </c>
      <c r="K350" s="258">
        <f>'[1]SITE (Imprensa)_PT'!K350</f>
        <v>0</v>
      </c>
      <c r="L350" s="258">
        <f>[2]Base!DZ350</f>
        <v>443</v>
      </c>
      <c r="M350" s="259">
        <f>[2]Base!AO350</f>
        <v>1190769244</v>
      </c>
      <c r="N350" s="259">
        <f>[2]Base!AP350</f>
        <v>0</v>
      </c>
      <c r="O350" s="259">
        <f>[2]Base!AQ350</f>
        <v>1190769244</v>
      </c>
      <c r="P350" s="258">
        <f>+[2]Base!ED350</f>
        <v>286911607.35368532</v>
      </c>
      <c r="Q350" s="260">
        <f>'[1]SITE (Imprensa)_PT'!P350</f>
        <v>9.4249998952777793E-4</v>
      </c>
      <c r="R350" s="210">
        <f>'[1]SITE (Imprensa)_PT'!Q350</f>
        <v>0.49793823613401961</v>
      </c>
      <c r="S350" s="210">
        <f>'[1]SITE (Imprensa)_PT'!R350</f>
        <v>0.36040657932881581</v>
      </c>
      <c r="T350" s="212">
        <f>'[1]SITE (Imprensa)_PT'!S350</f>
        <v>0.14071268454763683</v>
      </c>
      <c r="U350" s="1"/>
    </row>
    <row r="351" spans="2:21" ht="13.2" x14ac:dyDescent="0.25">
      <c r="B351" s="40" t="str">
        <f>[2]Base!A351</f>
        <v>INTERMEDICA</v>
      </c>
      <c r="C351" s="41" t="str">
        <f>[2]Base!C351</f>
        <v>NM</v>
      </c>
      <c r="D351" s="213" t="s">
        <v>131</v>
      </c>
      <c r="E351" s="223" t="str">
        <f>[2]Base!M351</f>
        <v>Itaú BBA</v>
      </c>
      <c r="F351" s="52" t="str">
        <f>[2]Base!F351</f>
        <v>FOLLOW-ON</v>
      </c>
      <c r="G351" s="52" t="str">
        <f>[2]Base!G351</f>
        <v>ICVM 476</v>
      </c>
      <c r="H351" s="53">
        <f>[2]Base!X351</f>
        <v>43810</v>
      </c>
      <c r="I351" s="198">
        <f>[2]Base!W351</f>
        <v>57</v>
      </c>
      <c r="J351" s="227">
        <f>[2]Base!J351</f>
        <v>43812</v>
      </c>
      <c r="K351" s="258">
        <f>'[1]SITE (Imprensa)_PT'!K351</f>
        <v>662</v>
      </c>
      <c r="L351" s="258">
        <f>[2]Base!DZ351</f>
        <v>1376</v>
      </c>
      <c r="M351" s="259">
        <f>[2]Base!AO351</f>
        <v>3705000000</v>
      </c>
      <c r="N351" s="259">
        <f>[2]Base!AP351</f>
        <v>1296750000</v>
      </c>
      <c r="O351" s="259">
        <f>[2]Base!AQ351</f>
        <v>5001750000</v>
      </c>
      <c r="P351" s="258">
        <f>+[2]Base!ED351</f>
        <v>1221458399.4725146</v>
      </c>
      <c r="Q351" s="260">
        <f>'[1]SITE (Imprensa)_PT'!P351</f>
        <v>6.2811396011396015E-4</v>
      </c>
      <c r="R351" s="210">
        <f>'[1]SITE (Imprensa)_PT'!Q351</f>
        <v>0.44429349287749287</v>
      </c>
      <c r="S351" s="210">
        <f>'[1]SITE (Imprensa)_PT'!R351</f>
        <v>0.55414322507122504</v>
      </c>
      <c r="T351" s="212">
        <f>'[1]SITE (Imprensa)_PT'!S351</f>
        <v>9.351680911680912E-4</v>
      </c>
      <c r="U351" s="1"/>
    </row>
    <row r="352" spans="2:21" ht="13.2" x14ac:dyDescent="0.25">
      <c r="B352" s="40" t="str">
        <f>[2]Base!A352</f>
        <v>LOCAMERICA</v>
      </c>
      <c r="C352" s="41" t="str">
        <f>[2]Base!C352</f>
        <v>NM</v>
      </c>
      <c r="D352" s="213" t="s">
        <v>71</v>
      </c>
      <c r="E352" s="223" t="str">
        <f>[2]Base!M352</f>
        <v>Itaú BBA</v>
      </c>
      <c r="F352" s="52" t="str">
        <f>[2]Base!F352</f>
        <v>FOLLOW-ON</v>
      </c>
      <c r="G352" s="52" t="str">
        <f>[2]Base!G352</f>
        <v>ICVM 476</v>
      </c>
      <c r="H352" s="53">
        <f>[2]Base!X352</f>
        <v>43816</v>
      </c>
      <c r="I352" s="198">
        <f>[2]Base!W352</f>
        <v>19.5</v>
      </c>
      <c r="J352" s="227">
        <f>[2]Base!J352</f>
        <v>43818</v>
      </c>
      <c r="K352" s="258">
        <f>'[1]SITE (Imprensa)_PT'!K352</f>
        <v>593</v>
      </c>
      <c r="L352" s="258">
        <f>[2]Base!DZ352</f>
        <v>1061</v>
      </c>
      <c r="M352" s="259">
        <f>[2]Base!AO352</f>
        <v>1189500000</v>
      </c>
      <c r="N352" s="259">
        <f>[2]Base!AP352</f>
        <v>639771249</v>
      </c>
      <c r="O352" s="259">
        <f>[2]Base!AQ352</f>
        <v>1829271249</v>
      </c>
      <c r="P352" s="258">
        <f>+[2]Base!ED352</f>
        <v>450193500.11074746</v>
      </c>
      <c r="Q352" s="260">
        <f>'[1]SITE (Imprensa)_PT'!P352</f>
        <v>2.3667826749951834E-3</v>
      </c>
      <c r="R352" s="210">
        <f>'[1]SITE (Imprensa)_PT'!Q352</f>
        <v>0.48046370541299643</v>
      </c>
      <c r="S352" s="210">
        <f>'[1]SITE (Imprensa)_PT'!R352</f>
        <v>0.50952361794869061</v>
      </c>
      <c r="T352" s="212">
        <f>'[1]SITE (Imprensa)_PT'!S352</f>
        <v>7.6458939633178482E-3</v>
      </c>
      <c r="U352" s="1"/>
    </row>
    <row r="353" spans="2:21" ht="13.2" x14ac:dyDescent="0.25">
      <c r="B353" s="40" t="str">
        <f>[2]Base!A353</f>
        <v>MARFRIG</v>
      </c>
      <c r="C353" s="41" t="str">
        <f>[2]Base!C353</f>
        <v>NM</v>
      </c>
      <c r="D353" s="213" t="s">
        <v>144</v>
      </c>
      <c r="E353" s="213" t="str">
        <f>[2]Base!M353</f>
        <v>Santander</v>
      </c>
      <c r="F353" s="19" t="str">
        <f>[2]Base!F353</f>
        <v>FOLLOW-ON</v>
      </c>
      <c r="G353" s="19" t="str">
        <f>[2]Base!G353</f>
        <v>ICVM 476</v>
      </c>
      <c r="H353" s="20">
        <f>[2]Base!X353</f>
        <v>43816</v>
      </c>
      <c r="I353" s="187">
        <f>[2]Base!W353</f>
        <v>10</v>
      </c>
      <c r="J353" s="188">
        <f>[2]Base!J353</f>
        <v>43818</v>
      </c>
      <c r="K353" s="189">
        <f>'[1]SITE (Imprensa)_PT'!K353</f>
        <v>614</v>
      </c>
      <c r="L353" s="189">
        <f>[2]Base!DZ353</f>
        <v>681</v>
      </c>
      <c r="M353" s="190">
        <f>[2]Base!AO353</f>
        <v>900900910</v>
      </c>
      <c r="N353" s="190">
        <f>[2]Base!AP353</f>
        <v>2096484270</v>
      </c>
      <c r="O353" s="190">
        <f>[2]Base!AQ353</f>
        <v>2997385180</v>
      </c>
      <c r="P353" s="189">
        <f>+[2]Base!ED353</f>
        <v>737672625.69832408</v>
      </c>
      <c r="Q353" s="191">
        <f>'[1]SITE (Imprensa)_PT'!P353</f>
        <v>0.14105915143011416</v>
      </c>
      <c r="R353" s="157">
        <f>'[1]SITE (Imprensa)_PT'!Q353</f>
        <v>0.39980733140209895</v>
      </c>
      <c r="S353" s="157">
        <f>'[1]SITE (Imprensa)_PT'!R353</f>
        <v>0.45913351716778689</v>
      </c>
      <c r="T353" s="158">
        <f>'[1]SITE (Imprensa)_PT'!S353</f>
        <v>0</v>
      </c>
      <c r="U353" s="1"/>
    </row>
    <row r="354" spans="2:21" ht="13.8" thickBot="1" x14ac:dyDescent="0.3">
      <c r="B354" s="61" t="str">
        <f>[2]Base!A354</f>
        <v>LE LIS BLANC</v>
      </c>
      <c r="C354" s="62" t="str">
        <f>[2]Base!C354</f>
        <v>NM</v>
      </c>
      <c r="D354" s="62" t="s">
        <v>138</v>
      </c>
      <c r="E354" s="62" t="str">
        <f>[2]Base!M354</f>
        <v>Santander</v>
      </c>
      <c r="F354" s="31" t="str">
        <f>[2]Base!F354</f>
        <v>FOLLOW-ON</v>
      </c>
      <c r="G354" s="31" t="str">
        <f>[2]Base!G354</f>
        <v>ICVM 476</v>
      </c>
      <c r="H354" s="32">
        <f>[2]Base!X354</f>
        <v>43817</v>
      </c>
      <c r="I354" s="253">
        <f>[2]Base!W354</f>
        <v>15</v>
      </c>
      <c r="J354" s="254">
        <f>[2]Base!J354</f>
        <v>43819</v>
      </c>
      <c r="K354" s="255">
        <f>'[1]SITE (Imprensa)_PT'!K354</f>
        <v>121</v>
      </c>
      <c r="L354" s="255">
        <f>[2]Base!DZ354</f>
        <v>141</v>
      </c>
      <c r="M354" s="256">
        <f>[2]Base!AO354</f>
        <v>258750000</v>
      </c>
      <c r="N354" s="256">
        <f>[2]Base!AP354</f>
        <v>0</v>
      </c>
      <c r="O354" s="256">
        <f>[2]Base!AQ354</f>
        <v>258750000</v>
      </c>
      <c r="P354" s="255">
        <f>+[2]Base!ED354</f>
        <v>63454888.785344675</v>
      </c>
      <c r="Q354" s="257">
        <f>'[1]SITE (Imprensa)_PT'!P354</f>
        <v>0.2988846956521739</v>
      </c>
      <c r="R354" s="159">
        <f>'[1]SITE (Imprensa)_PT'!Q354</f>
        <v>0.6967674782608696</v>
      </c>
      <c r="S354" s="159">
        <f>'[1]SITE (Imprensa)_PT'!R354</f>
        <v>4.3478260869565218E-3</v>
      </c>
      <c r="T354" s="160">
        <f>'[1]SITE (Imprensa)_PT'!S354</f>
        <v>0</v>
      </c>
      <c r="U354" s="1"/>
    </row>
    <row r="355" spans="2:21" ht="13.8" thickTop="1" x14ac:dyDescent="0.25">
      <c r="B355" s="106" t="str">
        <f>[2]Base!A355</f>
        <v>MINERVA</v>
      </c>
      <c r="C355" s="107" t="str">
        <f>[2]Base!C355</f>
        <v>NM</v>
      </c>
      <c r="D355" s="245" t="s">
        <v>144</v>
      </c>
      <c r="E355" s="245" t="str">
        <f>[2]Base!M355</f>
        <v>BTG Pactual</v>
      </c>
      <c r="F355" s="107" t="str">
        <f>[2]Base!F355</f>
        <v>FOLLOW-ON</v>
      </c>
      <c r="G355" s="107" t="str">
        <f>[2]Base!G355</f>
        <v>ICVM 476</v>
      </c>
      <c r="H355" s="108">
        <f>[2]Base!X355</f>
        <v>43853</v>
      </c>
      <c r="I355" s="246">
        <f>[2]Base!W355</f>
        <v>13</v>
      </c>
      <c r="J355" s="247">
        <f>[2]Base!J355</f>
        <v>43857</v>
      </c>
      <c r="K355" s="248">
        <f>'[1]SITE (Imprensa)_PT'!K355</f>
        <v>0</v>
      </c>
      <c r="L355" s="248">
        <f>[2]Base!DZ355</f>
        <v>1226</v>
      </c>
      <c r="M355" s="249">
        <f>[2]Base!AO355</f>
        <v>1040000000</v>
      </c>
      <c r="N355" s="249">
        <f>[2]Base!AP355</f>
        <v>195000000</v>
      </c>
      <c r="O355" s="249">
        <f>[2]Base!AQ355</f>
        <v>1235000000</v>
      </c>
      <c r="P355" s="248">
        <f>+[2]Base!ED355</f>
        <v>292681770.78396058</v>
      </c>
      <c r="Q355" s="250">
        <f>'[1]SITE (Imprensa)_PT'!P355</f>
        <v>0</v>
      </c>
      <c r="R355" s="251">
        <f>'[1]SITE (Imprensa)_PT'!Q355</f>
        <v>0.47924267368421053</v>
      </c>
      <c r="S355" s="251">
        <f>'[1]SITE (Imprensa)_PT'!R355</f>
        <v>0.42518526315789473</v>
      </c>
      <c r="T355" s="252">
        <f>'[1]SITE (Imprensa)_PT'!S355</f>
        <v>9.5572063157894738E-2</v>
      </c>
      <c r="U355" s="1"/>
    </row>
    <row r="356" spans="2:21" ht="13.2" x14ac:dyDescent="0.25">
      <c r="B356" s="40" t="str">
        <f>[2]Base!A356</f>
        <v>ANIMA</v>
      </c>
      <c r="C356" s="41" t="str">
        <f>[2]Base!C356</f>
        <v>NM</v>
      </c>
      <c r="D356" s="213" t="s">
        <v>93</v>
      </c>
      <c r="E356" s="223" t="str">
        <f>[2]Base!M356</f>
        <v>XP Investimentos</v>
      </c>
      <c r="F356" s="52" t="str">
        <f>[2]Base!F356</f>
        <v>FOLLOW-ON</v>
      </c>
      <c r="G356" s="52" t="str">
        <f>[2]Base!G356</f>
        <v>ICVM 476</v>
      </c>
      <c r="H356" s="53">
        <f>[2]Base!X356</f>
        <v>43859</v>
      </c>
      <c r="I356" s="198">
        <f>[2]Base!W356</f>
        <v>36.25</v>
      </c>
      <c r="J356" s="227">
        <f>[2]Base!J356</f>
        <v>43861</v>
      </c>
      <c r="K356" s="258">
        <f>'[1]SITE (Imprensa)_PT'!K356</f>
        <v>96</v>
      </c>
      <c r="L356" s="258">
        <f>[2]Base!DZ356</f>
        <v>332</v>
      </c>
      <c r="M356" s="259">
        <f>[2]Base!AO356</f>
        <v>1100213600</v>
      </c>
      <c r="N356" s="259">
        <f>[2]Base!AP356</f>
        <v>0</v>
      </c>
      <c r="O356" s="259">
        <f>[2]Base!AQ356</f>
        <v>1100213600</v>
      </c>
      <c r="P356" s="258">
        <f>+[2]Base!ED356</f>
        <v>257691439.27860406</v>
      </c>
      <c r="Q356" s="260">
        <f>'[1]SITE (Imprensa)_PT'!P356</f>
        <v>0.1322984100541931</v>
      </c>
      <c r="R356" s="210">
        <f>'[1]SITE (Imprensa)_PT'!Q356</f>
        <v>0.56927773047888153</v>
      </c>
      <c r="S356" s="210">
        <f>'[1]SITE (Imprensa)_PT'!R356</f>
        <v>0.29842385946692535</v>
      </c>
      <c r="T356" s="212">
        <f>'[1]SITE (Imprensa)_PT'!S356</f>
        <v>0</v>
      </c>
      <c r="U356" s="1"/>
    </row>
    <row r="357" spans="2:21" ht="13.2" x14ac:dyDescent="0.25">
      <c r="B357" s="40" t="str">
        <f>[2]Base!A357</f>
        <v>POSITIVO TEC</v>
      </c>
      <c r="C357" s="41" t="str">
        <f>[2]Base!C357</f>
        <v>NM</v>
      </c>
      <c r="D357" s="213" t="s">
        <v>145</v>
      </c>
      <c r="E357" s="223" t="str">
        <f>[2]Base!M357</f>
        <v>BTG Pactual</v>
      </c>
      <c r="F357" s="52" t="str">
        <f>[2]Base!F357</f>
        <v>FOLLOW-ON</v>
      </c>
      <c r="G357" s="52" t="str">
        <f>[2]Base!G357</f>
        <v>ICVM 476</v>
      </c>
      <c r="H357" s="53">
        <f>[2]Base!X357</f>
        <v>43860</v>
      </c>
      <c r="I357" s="198">
        <f>[2]Base!W357</f>
        <v>6.55</v>
      </c>
      <c r="J357" s="227">
        <f>[2]Base!J357</f>
        <v>43864</v>
      </c>
      <c r="K357" s="258">
        <f>'[1]SITE (Imprensa)_PT'!K357</f>
        <v>0</v>
      </c>
      <c r="L357" s="258">
        <f>[2]Base!DZ357</f>
        <v>321</v>
      </c>
      <c r="M357" s="259">
        <f>[2]Base!AO357</f>
        <v>353700000</v>
      </c>
      <c r="N357" s="259">
        <f>[2]Base!AP357</f>
        <v>0</v>
      </c>
      <c r="O357" s="259">
        <f>[2]Base!AQ357</f>
        <v>353700000</v>
      </c>
      <c r="P357" s="258">
        <f>+[2]Base!ED357</f>
        <v>83272513.243084177</v>
      </c>
      <c r="Q357" s="260">
        <f>'[1]SITE (Imprensa)_PT'!P357</f>
        <v>0</v>
      </c>
      <c r="R357" s="210">
        <f>'[1]SITE (Imprensa)_PT'!Q357</f>
        <v>0.82411924074074072</v>
      </c>
      <c r="S357" s="210">
        <f>'[1]SITE (Imprensa)_PT'!R357</f>
        <v>0.13694444444444445</v>
      </c>
      <c r="T357" s="212">
        <f>'[1]SITE (Imprensa)_PT'!S357</f>
        <v>3.8936314814814812E-2</v>
      </c>
      <c r="U357" s="1"/>
    </row>
    <row r="358" spans="2:21" ht="13.2" x14ac:dyDescent="0.25">
      <c r="B358" s="40" t="str">
        <f>[2]Base!A358</f>
        <v>MITRE REALTY</v>
      </c>
      <c r="C358" s="41" t="str">
        <f>[2]Base!C358</f>
        <v>NM</v>
      </c>
      <c r="D358" s="213" t="s">
        <v>82</v>
      </c>
      <c r="E358" s="223" t="str">
        <f>[2]Base!M358</f>
        <v>Itaú BBA</v>
      </c>
      <c r="F358" s="52" t="str">
        <f>[2]Base!F358</f>
        <v>IPO</v>
      </c>
      <c r="G358" s="52" t="str">
        <f>[2]Base!G358</f>
        <v>ICVM 400</v>
      </c>
      <c r="H358" s="53">
        <f>[2]Base!X358</f>
        <v>43864</v>
      </c>
      <c r="I358" s="198">
        <f>[2]Base!W358</f>
        <v>19.3</v>
      </c>
      <c r="J358" s="227">
        <f>[2]Base!J358</f>
        <v>43866</v>
      </c>
      <c r="K358" s="258">
        <f>'[1]SITE (Imprensa)_PT'!K358</f>
        <v>7300</v>
      </c>
      <c r="L358" s="258">
        <f>[2]Base!DZ358</f>
        <v>7748</v>
      </c>
      <c r="M358" s="259">
        <f>[2]Base!AO358</f>
        <v>958724026</v>
      </c>
      <c r="N358" s="259">
        <f>[2]Base!AP358</f>
        <v>94003236.200000003</v>
      </c>
      <c r="O358" s="259">
        <f>[2]Base!AQ358</f>
        <v>1052727262.2</v>
      </c>
      <c r="P358" s="258">
        <f>+[2]Base!ED358</f>
        <v>247998130.03839901</v>
      </c>
      <c r="Q358" s="260">
        <f>'[1]SITE (Imprensa)_PT'!P358</f>
        <v>0.10116679204494311</v>
      </c>
      <c r="R358" s="210">
        <f>'[1]SITE (Imprensa)_PT'!Q358</f>
        <v>0.42703269496718532</v>
      </c>
      <c r="S358" s="210">
        <f>'[1]SITE (Imprensa)_PT'!R358</f>
        <v>0.4502438366019848</v>
      </c>
      <c r="T358" s="212">
        <f>'[1]SITE (Imprensa)_PT'!S358</f>
        <v>2.1556676385886799E-2</v>
      </c>
      <c r="U358" s="1"/>
    </row>
    <row r="359" spans="2:21" ht="13.2" x14ac:dyDescent="0.25">
      <c r="B359" s="40" t="str">
        <f>[2]Base!A359</f>
        <v>LOCAWEB</v>
      </c>
      <c r="C359" s="41" t="str">
        <f>[2]Base!C359</f>
        <v>NM</v>
      </c>
      <c r="D359" s="213" t="s">
        <v>141</v>
      </c>
      <c r="E359" s="223" t="str">
        <f>[2]Base!M359</f>
        <v>Itaú BBA</v>
      </c>
      <c r="F359" s="52" t="str">
        <f>[2]Base!F359</f>
        <v>IPO</v>
      </c>
      <c r="G359" s="52" t="str">
        <f>[2]Base!G359</f>
        <v>ICVM 400</v>
      </c>
      <c r="H359" s="53">
        <f>[2]Base!X359</f>
        <v>43865</v>
      </c>
      <c r="I359" s="198">
        <f>[2]Base!W359</f>
        <v>17.25</v>
      </c>
      <c r="J359" s="227">
        <f>[2]Base!J359</f>
        <v>43867</v>
      </c>
      <c r="K359" s="258">
        <f>'[1]SITE (Imprensa)_PT'!K359</f>
        <v>3180</v>
      </c>
      <c r="L359" s="258">
        <f>[2]Base!DZ359</f>
        <v>3704</v>
      </c>
      <c r="M359" s="259">
        <f>[2]Base!AO359</f>
        <v>574999994.25</v>
      </c>
      <c r="N359" s="259">
        <f>[2]Base!AP359</f>
        <v>750144988.5</v>
      </c>
      <c r="O359" s="259">
        <f>[2]Base!AQ359</f>
        <v>1325144982.75</v>
      </c>
      <c r="P359" s="258">
        <f>+[2]Base!ED359</f>
        <v>311967649.02182359</v>
      </c>
      <c r="Q359" s="260">
        <f>'[1]SITE (Imprensa)_PT'!P359</f>
        <v>0.1001020059893518</v>
      </c>
      <c r="R359" s="210">
        <f>'[1]SITE (Imprensa)_PT'!Q359</f>
        <v>0.32811089987126918</v>
      </c>
      <c r="S359" s="210">
        <f>'[1]SITE (Imprensa)_PT'!R359</f>
        <v>0.54889604984243756</v>
      </c>
      <c r="T359" s="212">
        <f>'[1]SITE (Imprensa)_PT'!S359</f>
        <v>2.2891044296941478E-2</v>
      </c>
      <c r="U359" s="1"/>
    </row>
    <row r="360" spans="2:21" ht="13.2" x14ac:dyDescent="0.25">
      <c r="B360" s="40" t="str">
        <f>[2]Base!A360</f>
        <v>PETROBRAS</v>
      </c>
      <c r="C360" s="41" t="str">
        <f>[2]Base!C360</f>
        <v>N2</v>
      </c>
      <c r="D360" s="213" t="s">
        <v>139</v>
      </c>
      <c r="E360" s="223" t="str">
        <f>[2]Base!M360</f>
        <v>Credit Suisse</v>
      </c>
      <c r="F360" s="52" t="str">
        <f>[2]Base!F360</f>
        <v>FOLLOW-ON</v>
      </c>
      <c r="G360" s="52" t="str">
        <f>[2]Base!G360</f>
        <v>ICVM 400</v>
      </c>
      <c r="H360" s="53">
        <f>[2]Base!X360</f>
        <v>43866</v>
      </c>
      <c r="I360" s="198">
        <f>[2]Base!W360</f>
        <v>30</v>
      </c>
      <c r="J360" s="227">
        <f>[2]Base!J360</f>
        <v>43868</v>
      </c>
      <c r="K360" s="258">
        <f>'[1]SITE (Imprensa)_PT'!K360</f>
        <v>53097</v>
      </c>
      <c r="L360" s="258">
        <f>[2]Base!DZ360</f>
        <v>55292</v>
      </c>
      <c r="M360" s="259">
        <f>[2]Base!AO360</f>
        <v>0</v>
      </c>
      <c r="N360" s="259">
        <f>[2]Base!AP360</f>
        <v>22026080970</v>
      </c>
      <c r="O360" s="259">
        <f>[2]Base!AQ360</f>
        <v>22026080970</v>
      </c>
      <c r="P360" s="258">
        <f>+[2]Base!ED360</f>
        <v>5113306938.8986912</v>
      </c>
      <c r="Q360" s="260">
        <f>'[1]SITE (Imprensa)_PT'!P360</f>
        <v>0.16906688870671122</v>
      </c>
      <c r="R360" s="210">
        <f>'[1]SITE (Imprensa)_PT'!Q360</f>
        <v>0.43540777694689459</v>
      </c>
      <c r="S360" s="210">
        <f>'[1]SITE (Imprensa)_PT'!R360</f>
        <v>0.38807323561745721</v>
      </c>
      <c r="T360" s="212">
        <f>'[1]SITE (Imprensa)_PT'!S360</f>
        <v>7.4520987289369801E-3</v>
      </c>
      <c r="U360" s="1"/>
    </row>
    <row r="361" spans="2:21" ht="13.2" x14ac:dyDescent="0.25">
      <c r="B361" s="40" t="str">
        <f>[2]Base!A361</f>
        <v>COGNA ON</v>
      </c>
      <c r="C361" s="41" t="str">
        <f>[2]Base!C361</f>
        <v>NM</v>
      </c>
      <c r="D361" s="213" t="s">
        <v>93</v>
      </c>
      <c r="E361" s="223" t="str">
        <f>[2]Base!M361</f>
        <v>Itaú BBA</v>
      </c>
      <c r="F361" s="52" t="str">
        <f>[2]Base!F361</f>
        <v>FOLLOW-ON</v>
      </c>
      <c r="G361" s="52" t="str">
        <f>[2]Base!G361</f>
        <v>ICVM 476</v>
      </c>
      <c r="H361" s="53">
        <f>[2]Base!X361</f>
        <v>43872</v>
      </c>
      <c r="I361" s="198">
        <f>[2]Base!W361</f>
        <v>11</v>
      </c>
      <c r="J361" s="227">
        <f>[2]Base!J361</f>
        <v>43874</v>
      </c>
      <c r="K361" s="258">
        <f>'[1]SITE (Imprensa)_PT'!K361</f>
        <v>1</v>
      </c>
      <c r="L361" s="258">
        <f>[2]Base!DZ361</f>
        <v>2042</v>
      </c>
      <c r="M361" s="259">
        <f>[2]Base!AO361</f>
        <v>2555938044</v>
      </c>
      <c r="N361" s="259">
        <f>[2]Base!AP361</f>
        <v>0</v>
      </c>
      <c r="O361" s="259">
        <f>[2]Base!AQ361</f>
        <v>2555938044</v>
      </c>
      <c r="P361" s="258">
        <f>+[2]Base!ED361</f>
        <v>589075121.34411955</v>
      </c>
      <c r="Q361" s="260">
        <f>'[1]SITE (Imprensa)_PT'!P361</f>
        <v>8.6074073867496297E-5</v>
      </c>
      <c r="R361" s="210">
        <f>'[1]SITE (Imprensa)_PT'!Q361</f>
        <v>0.30330180061281642</v>
      </c>
      <c r="S361" s="210">
        <f>'[1]SITE (Imprensa)_PT'!R361</f>
        <v>0.44945746736574654</v>
      </c>
      <c r="T361" s="212">
        <f>'[1]SITE (Imprensa)_PT'!S361</f>
        <v>0.24715465794756955</v>
      </c>
      <c r="U361" s="1"/>
    </row>
    <row r="362" spans="2:21" ht="13.2" x14ac:dyDescent="0.25">
      <c r="B362" s="40" t="str">
        <f>[2]Base!A362</f>
        <v>MOURA DUBEUX</v>
      </c>
      <c r="C362" s="41" t="str">
        <f>[2]Base!C362</f>
        <v>NM</v>
      </c>
      <c r="D362" s="213" t="s">
        <v>82</v>
      </c>
      <c r="E362" s="223" t="str">
        <f>[2]Base!M362</f>
        <v>Itaú BBA</v>
      </c>
      <c r="F362" s="52" t="str">
        <f>[2]Base!F362</f>
        <v>IPO</v>
      </c>
      <c r="G362" s="52" t="str">
        <f>[2]Base!G362</f>
        <v>ICVM 400</v>
      </c>
      <c r="H362" s="53">
        <f>[2]Base!X362</f>
        <v>43872</v>
      </c>
      <c r="I362" s="198">
        <f>[2]Base!W362</f>
        <v>19</v>
      </c>
      <c r="J362" s="227">
        <f>[2]Base!J362</f>
        <v>43874</v>
      </c>
      <c r="K362" s="258">
        <f>'[1]SITE (Imprensa)_PT'!K362</f>
        <v>4678</v>
      </c>
      <c r="L362" s="258">
        <f>[2]Base!DZ362</f>
        <v>4948</v>
      </c>
      <c r="M362" s="259">
        <f>[2]Base!AO362</f>
        <v>1104867005</v>
      </c>
      <c r="N362" s="259">
        <f>[2]Base!AP362</f>
        <v>0</v>
      </c>
      <c r="O362" s="259">
        <f>[2]Base!AQ362</f>
        <v>1104867005</v>
      </c>
      <c r="P362" s="258">
        <f>+[2]Base!ED362</f>
        <v>254642191.56929177</v>
      </c>
      <c r="Q362" s="260">
        <f>'[1]SITE (Imprensa)_PT'!P362</f>
        <v>9.7688715535139414E-2</v>
      </c>
      <c r="R362" s="210">
        <f>'[1]SITE (Imprensa)_PT'!Q362</f>
        <v>0.58761211359542875</v>
      </c>
      <c r="S362" s="210">
        <f>'[1]SITE (Imprensa)_PT'!R362</f>
        <v>0.3110162628928631</v>
      </c>
      <c r="T362" s="212">
        <f>'[1]SITE (Imprensa)_PT'!S362</f>
        <v>3.6829079765686827E-3</v>
      </c>
      <c r="U362" s="1"/>
    </row>
    <row r="363" spans="2:21" ht="13.2" x14ac:dyDescent="0.25">
      <c r="B363" s="40" t="str">
        <f>[2]Base!A363</f>
        <v>PRINER</v>
      </c>
      <c r="C363" s="41" t="str">
        <f>[2]Base!C363</f>
        <v>NM</v>
      </c>
      <c r="D363" s="213" t="s">
        <v>81</v>
      </c>
      <c r="E363" s="223" t="str">
        <f>[2]Base!M363</f>
        <v>XP Investimentos</v>
      </c>
      <c r="F363" s="52" t="str">
        <f>[2]Base!F363</f>
        <v>IPO</v>
      </c>
      <c r="G363" s="52" t="str">
        <f>[2]Base!G363</f>
        <v>ICVM 400</v>
      </c>
      <c r="H363" s="53">
        <f>[2]Base!X363</f>
        <v>43874</v>
      </c>
      <c r="I363" s="198">
        <f>[2]Base!W363</f>
        <v>10</v>
      </c>
      <c r="J363" s="227">
        <f>[2]Base!J363</f>
        <v>43878</v>
      </c>
      <c r="K363" s="258">
        <f>'[1]SITE (Imprensa)_PT'!K363</f>
        <v>9671</v>
      </c>
      <c r="L363" s="258">
        <f>[2]Base!DZ363</f>
        <v>9909</v>
      </c>
      <c r="M363" s="259">
        <f>[2]Base!AO363</f>
        <v>173913040</v>
      </c>
      <c r="N363" s="259">
        <f>[2]Base!AP363</f>
        <v>26086950</v>
      </c>
      <c r="O363" s="259">
        <f>[2]Base!AQ363</f>
        <v>199999990</v>
      </c>
      <c r="P363" s="258">
        <f>+[2]Base!ED363</f>
        <v>46342421.855087243</v>
      </c>
      <c r="Q363" s="260">
        <f>'[1]SITE (Imprensa)_PT'!P363</f>
        <v>0.38039636901981844</v>
      </c>
      <c r="R363" s="210">
        <f>'[1]SITE (Imprensa)_PT'!Q363</f>
        <v>0.56562192828109636</v>
      </c>
      <c r="S363" s="210">
        <f>'[1]SITE (Imprensa)_PT'!R363</f>
        <v>2.6556051327802567E-2</v>
      </c>
      <c r="T363" s="212">
        <f>'[1]SITE (Imprensa)_PT'!S363</f>
        <v>2.742465137123257E-2</v>
      </c>
      <c r="U363" s="1"/>
    </row>
    <row r="364" spans="2:21" ht="13.2" x14ac:dyDescent="0.25">
      <c r="B364" s="40" t="str">
        <f>[2]Base!A364</f>
        <v>ESTAPAR</v>
      </c>
      <c r="C364" s="41" t="str">
        <f>[2]Base!C364</f>
        <v>NM</v>
      </c>
      <c r="D364" s="213" t="s">
        <v>81</v>
      </c>
      <c r="E364" s="223" t="str">
        <f>[2]Base!M364</f>
        <v>BTG Pactual</v>
      </c>
      <c r="F364" s="52" t="str">
        <f>[2]Base!F364</f>
        <v>IPO</v>
      </c>
      <c r="G364" s="52" t="str">
        <f>[2]Base!G364</f>
        <v>ICVM 400</v>
      </c>
      <c r="H364" s="53">
        <f>[2]Base!X364</f>
        <v>43964</v>
      </c>
      <c r="I364" s="198">
        <f>[2]Base!W364</f>
        <v>10.5</v>
      </c>
      <c r="J364" s="227">
        <f>[2]Base!J364</f>
        <v>43966</v>
      </c>
      <c r="K364" s="258">
        <f>'[1]SITE (Imprensa)_PT'!K364</f>
        <v>1104</v>
      </c>
      <c r="L364" s="258">
        <f>[2]Base!DZ364</f>
        <v>1178</v>
      </c>
      <c r="M364" s="259">
        <f>[2]Base!AO364</f>
        <v>300300000</v>
      </c>
      <c r="N364" s="259">
        <f>[2]Base!AP364</f>
        <v>0</v>
      </c>
      <c r="O364" s="259">
        <f>[2]Base!AQ364</f>
        <v>300300000</v>
      </c>
      <c r="P364" s="258">
        <f>+[2]Base!ED364</f>
        <v>51572240.636109158</v>
      </c>
      <c r="Q364" s="260">
        <f>'[1]SITE (Imprensa)_PT'!P364</f>
        <v>9.9578321678321674E-2</v>
      </c>
      <c r="R364" s="210">
        <f>'[1]SITE (Imprensa)_PT'!Q364</f>
        <v>0.43811605351170568</v>
      </c>
      <c r="S364" s="210">
        <f>'[1]SITE (Imprensa)_PT'!R364</f>
        <v>6.0833079963514745E-2</v>
      </c>
      <c r="T364" s="212">
        <f>'[1]SITE (Imprensa)_PT'!S364</f>
        <v>0.40147254484645789</v>
      </c>
      <c r="U364" s="1"/>
    </row>
    <row r="365" spans="2:21" ht="13.2" x14ac:dyDescent="0.25">
      <c r="B365" s="40" t="str">
        <f>[2]Base!A365</f>
        <v>CENTAURO</v>
      </c>
      <c r="C365" s="41" t="str">
        <f>[2]Base!C365</f>
        <v>NM</v>
      </c>
      <c r="D365" s="213" t="s">
        <v>140</v>
      </c>
      <c r="E365" s="223" t="str">
        <f>[2]Base!M365</f>
        <v>Bradesco BBI</v>
      </c>
      <c r="F365" s="52" t="str">
        <f>[2]Base!F365</f>
        <v>FOLLOW-ON</v>
      </c>
      <c r="G365" s="52" t="str">
        <f>[2]Base!G365</f>
        <v>ICVM 476</v>
      </c>
      <c r="H365" s="53">
        <f>[2]Base!X365</f>
        <v>43977</v>
      </c>
      <c r="I365" s="198">
        <f>[2]Base!W365</f>
        <v>30</v>
      </c>
      <c r="J365" s="227">
        <f>[2]Base!J365</f>
        <v>43990</v>
      </c>
      <c r="K365" s="258">
        <f>'[1]SITE (Imprensa)_PT'!K365</f>
        <v>344</v>
      </c>
      <c r="L365" s="258">
        <f>[2]Base!DZ365</f>
        <v>770</v>
      </c>
      <c r="M365" s="259">
        <f>[2]Base!AO365</f>
        <v>900000000</v>
      </c>
      <c r="N365" s="259">
        <f>[2]Base!AP365</f>
        <v>0</v>
      </c>
      <c r="O365" s="259">
        <f>[2]Base!AQ365</f>
        <v>900000000</v>
      </c>
      <c r="P365" s="258">
        <f>+[2]Base!ED365</f>
        <v>182441061.4015528</v>
      </c>
      <c r="Q365" s="260">
        <f>'[1]SITE (Imprensa)_PT'!P365</f>
        <v>2.1158333333333333E-3</v>
      </c>
      <c r="R365" s="210">
        <f>'[1]SITE (Imprensa)_PT'!Q365</f>
        <v>0.67652143333333337</v>
      </c>
      <c r="S365" s="210">
        <f>'[1]SITE (Imprensa)_PT'!R365</f>
        <v>0.31601646666666666</v>
      </c>
      <c r="T365" s="212">
        <f>'[1]SITE (Imprensa)_PT'!S365</f>
        <v>5.3462666666666669E-3</v>
      </c>
      <c r="U365" s="1"/>
    </row>
    <row r="366" spans="2:21" ht="13.2" x14ac:dyDescent="0.25">
      <c r="B366" s="40" t="str">
        <f>[2]Base!A366</f>
        <v>VIAVAREJO</v>
      </c>
      <c r="C366" s="41" t="str">
        <f>[2]Base!C366</f>
        <v>NM</v>
      </c>
      <c r="D366" s="213" t="s">
        <v>146</v>
      </c>
      <c r="E366" s="223" t="str">
        <f>[2]Base!M366</f>
        <v>Bradesco BBI</v>
      </c>
      <c r="F366" s="52" t="str">
        <f>[2]Base!F366</f>
        <v>FOLLOW-ON</v>
      </c>
      <c r="G366" s="52" t="str">
        <f>[2]Base!G366</f>
        <v>ICVM 476</v>
      </c>
      <c r="H366" s="53">
        <f>[2]Base!X366</f>
        <v>43997</v>
      </c>
      <c r="I366" s="198">
        <f>[2]Base!W366</f>
        <v>15</v>
      </c>
      <c r="J366" s="227">
        <f>[2]Base!J366</f>
        <v>43999</v>
      </c>
      <c r="K366" s="258">
        <f>'[1]SITE (Imprensa)_PT'!K366</f>
        <v>0</v>
      </c>
      <c r="L366" s="258">
        <f>[2]Base!DZ366</f>
        <v>14556</v>
      </c>
      <c r="M366" s="259">
        <f>[2]Base!AO366</f>
        <v>4455000000</v>
      </c>
      <c r="N366" s="259">
        <f>[2]Base!AP366</f>
        <v>0</v>
      </c>
      <c r="O366" s="259">
        <f>[2]Base!AQ366</f>
        <v>4455000000</v>
      </c>
      <c r="P366" s="258">
        <f>+[2]Base!ED366</f>
        <v>848587592.14461219</v>
      </c>
      <c r="Q366" s="260">
        <f>'[1]SITE (Imprensa)_PT'!P366</f>
        <v>7.9124579124579126E-5</v>
      </c>
      <c r="R366" s="210">
        <f>'[1]SITE (Imprensa)_PT'!Q366</f>
        <v>0.4090659158249158</v>
      </c>
      <c r="S366" s="210">
        <f>'[1]SITE (Imprensa)_PT'!R366</f>
        <v>0.27761075084175085</v>
      </c>
      <c r="T366" s="212">
        <f>'[1]SITE (Imprensa)_PT'!S366</f>
        <v>0.31324420875420877</v>
      </c>
      <c r="U366" s="1"/>
    </row>
    <row r="367" spans="2:21" ht="13.2" x14ac:dyDescent="0.25">
      <c r="B367" s="40" t="str">
        <f>[2]Base!A367</f>
        <v>BTGP BANCO</v>
      </c>
      <c r="C367" s="41" t="str">
        <f>[2]Base!C367</f>
        <v>N2</v>
      </c>
      <c r="D367" s="213" t="s">
        <v>67</v>
      </c>
      <c r="E367" s="223" t="str">
        <f>[2]Base!M367</f>
        <v>BTG Pactual</v>
      </c>
      <c r="F367" s="52" t="str">
        <f>[2]Base!F367</f>
        <v>FOLLOW-ON</v>
      </c>
      <c r="G367" s="52" t="str">
        <f>[2]Base!G367</f>
        <v>ICVM 476</v>
      </c>
      <c r="H367" s="53">
        <f>[2]Base!X367</f>
        <v>44011</v>
      </c>
      <c r="I367" s="198">
        <f>[2]Base!W367</f>
        <v>24.8</v>
      </c>
      <c r="J367" s="227">
        <f>[2]Base!J367</f>
        <v>44013</v>
      </c>
      <c r="K367" s="258">
        <f>'[1]SITE (Imprensa)_PT'!K367</f>
        <v>0</v>
      </c>
      <c r="L367" s="258">
        <f>[2]Base!DZ367</f>
        <v>2556</v>
      </c>
      <c r="M367" s="259">
        <f>[2]Base!AO367</f>
        <v>2650500000</v>
      </c>
      <c r="N367" s="259">
        <f>[2]Base!AP367</f>
        <v>0</v>
      </c>
      <c r="O367" s="259">
        <f>[2]Base!AQ367</f>
        <v>2650500000</v>
      </c>
      <c r="P367" s="258">
        <f>+[2]Base!ED367</f>
        <v>494026206.40808189</v>
      </c>
      <c r="Q367" s="260">
        <f>'[1]SITE (Imprensa)_PT'!P367</f>
        <v>8.1403508771929825E-5</v>
      </c>
      <c r="R367" s="210">
        <f>'[1]SITE (Imprensa)_PT'!Q367</f>
        <v>0.48391056842105268</v>
      </c>
      <c r="S367" s="210">
        <f>'[1]SITE (Imprensa)_PT'!R367</f>
        <v>0.1185880701754386</v>
      </c>
      <c r="T367" s="212">
        <f>'[1]SITE (Imprensa)_PT'!S367</f>
        <v>0.39741995789473683</v>
      </c>
      <c r="U367" s="1"/>
    </row>
    <row r="368" spans="2:21" ht="13.2" x14ac:dyDescent="0.25">
      <c r="B368" s="40" t="str">
        <f>[2]Base!A368</f>
        <v>AURA 360</v>
      </c>
      <c r="C368" s="41" t="str">
        <f>[2]Base!C368</f>
        <v>BDR</v>
      </c>
      <c r="D368" s="213" t="s">
        <v>147</v>
      </c>
      <c r="E368" s="223" t="str">
        <f>[2]Base!M368</f>
        <v>Credit Suisse</v>
      </c>
      <c r="F368" s="52" t="str">
        <f>[2]Base!F368</f>
        <v>IPO</v>
      </c>
      <c r="G368" s="52" t="str">
        <f>[2]Base!G368</f>
        <v>ICVM 476</v>
      </c>
      <c r="H368" s="53">
        <f>[2]Base!X368</f>
        <v>44014</v>
      </c>
      <c r="I368" s="198">
        <f>[2]Base!W368</f>
        <v>820</v>
      </c>
      <c r="J368" s="227">
        <f>[2]Base!J368</f>
        <v>44018</v>
      </c>
      <c r="K368" s="258">
        <f>'[1]SITE (Imprensa)_PT'!K368</f>
        <v>0</v>
      </c>
      <c r="L368" s="258">
        <f>[2]Base!DZ368</f>
        <v>120</v>
      </c>
      <c r="M368" s="259">
        <f>[2]Base!AO368</f>
        <v>301753440</v>
      </c>
      <c r="N368" s="259">
        <f>[2]Base!AP368</f>
        <v>560739780</v>
      </c>
      <c r="O368" s="259">
        <f>[2]Base!AQ368</f>
        <v>862493220</v>
      </c>
      <c r="P368" s="258">
        <f>+[2]Base!ED368</f>
        <v>162473998.30460581</v>
      </c>
      <c r="Q368" s="260">
        <f>'[1]SITE (Imprensa)_PT'!P368</f>
        <v>1.8064872764584901E-4</v>
      </c>
      <c r="R368" s="210">
        <f>'[1]SITE (Imprensa)_PT'!Q368</f>
        <v>0.81068826261989435</v>
      </c>
      <c r="S368" s="210">
        <f>'[1]SITE (Imprensa)_PT'!R368</f>
        <v>0.18482261649810636</v>
      </c>
      <c r="T368" s="212">
        <f>'[1]SITE (Imprensa)_PT'!S368</f>
        <v>4.3355694635003762E-3</v>
      </c>
      <c r="U368" s="1"/>
    </row>
    <row r="369" spans="2:21" ht="13.2" x14ac:dyDescent="0.25">
      <c r="B369" s="40" t="str">
        <f>[2]Base!A369</f>
        <v>JHSF PART</v>
      </c>
      <c r="C369" s="41" t="str">
        <f>[2]Base!C369</f>
        <v>NM</v>
      </c>
      <c r="D369" s="213" t="s">
        <v>82</v>
      </c>
      <c r="E369" s="223" t="str">
        <f>[2]Base!M369</f>
        <v>BTG Pactual</v>
      </c>
      <c r="F369" s="52" t="str">
        <f>[2]Base!F369</f>
        <v>FOLLOW-ON</v>
      </c>
      <c r="G369" s="52" t="str">
        <f>[2]Base!G369</f>
        <v>ICVM 476</v>
      </c>
      <c r="H369" s="53">
        <f>[2]Base!X369</f>
        <v>44027</v>
      </c>
      <c r="I369" s="198">
        <f>[2]Base!W369</f>
        <v>9.75</v>
      </c>
      <c r="J369" s="227">
        <f>[2]Base!J369</f>
        <v>44029</v>
      </c>
      <c r="K369" s="258">
        <f>'[1]SITE (Imprensa)_PT'!K369</f>
        <v>0</v>
      </c>
      <c r="L369" s="258">
        <f>[2]Base!DZ369</f>
        <v>2687</v>
      </c>
      <c r="M369" s="259">
        <f>[2]Base!AO369</f>
        <v>399750000</v>
      </c>
      <c r="N369" s="259">
        <f>[2]Base!AP369</f>
        <v>33422512.5</v>
      </c>
      <c r="O369" s="259">
        <f>[2]Base!AQ369</f>
        <v>433172512.5</v>
      </c>
      <c r="P369" s="258">
        <f>+[2]Base!ED369</f>
        <v>80951693.608671278</v>
      </c>
      <c r="Q369" s="260">
        <f>'[1]SITE (Imprensa)_PT'!P369</f>
        <v>0</v>
      </c>
      <c r="R369" s="210">
        <f>'[1]SITE (Imprensa)_PT'!Q369</f>
        <v>0.84487560195777656</v>
      </c>
      <c r="S369" s="210">
        <f>'[1]SITE (Imprensa)_PT'!R369</f>
        <v>0.10616150418824186</v>
      </c>
      <c r="T369" s="212">
        <f>'[1]SITE (Imprensa)_PT'!S369</f>
        <v>4.8962893853981559E-2</v>
      </c>
      <c r="U369" s="1"/>
    </row>
    <row r="370" spans="2:21" ht="13.2" x14ac:dyDescent="0.25">
      <c r="B370" s="40" t="str">
        <f>[2]Base!A370</f>
        <v xml:space="preserve">LOJAS AMERIC 4 </v>
      </c>
      <c r="C370" s="41" t="str">
        <f>[2]Base!C370</f>
        <v>N1</v>
      </c>
      <c r="D370" s="213" t="s">
        <v>140</v>
      </c>
      <c r="E370" s="223" t="str">
        <f>[2]Base!M370</f>
        <v>BTG Pactual</v>
      </c>
      <c r="F370" s="52" t="str">
        <f>[2]Base!F370</f>
        <v>FOLLOW-ON</v>
      </c>
      <c r="G370" s="52" t="str">
        <f>[2]Base!G370</f>
        <v>ICVM 476</v>
      </c>
      <c r="H370" s="53">
        <f>[2]Base!X370</f>
        <v>44026</v>
      </c>
      <c r="I370" s="198">
        <f>[2]Base!W370</f>
        <v>32.402222222222221</v>
      </c>
      <c r="J370" s="227">
        <f>[2]Base!J370</f>
        <v>44028</v>
      </c>
      <c r="K370" s="258">
        <f>'[1]SITE (Imprensa)_PT'!K370</f>
        <v>0</v>
      </c>
      <c r="L370" s="258">
        <f>[2]Base!DZ370</f>
        <v>2073</v>
      </c>
      <c r="M370" s="259">
        <f>[2]Base!AO370</f>
        <v>7873740000</v>
      </c>
      <c r="N370" s="259">
        <f>[2]Base!AP370</f>
        <v>0</v>
      </c>
      <c r="O370" s="259">
        <f>[2]Base!AQ370</f>
        <v>7873740000</v>
      </c>
      <c r="P370" s="258">
        <f>+[2]Base!ED370</f>
        <v>1470078416.7289021</v>
      </c>
      <c r="Q370" s="260">
        <f>'[1]SITE (Imprensa)_PT'!P370</f>
        <v>0</v>
      </c>
      <c r="R370" s="210">
        <f>'[1]SITE (Imprensa)_PT'!Q370</f>
        <v>0.3546143251028806</v>
      </c>
      <c r="S370" s="210">
        <f>'[1]SITE (Imprensa)_PT'!R370</f>
        <v>0.18156418930041152</v>
      </c>
      <c r="T370" s="212">
        <f>'[1]SITE (Imprensa)_PT'!S370</f>
        <v>0.46382148559670777</v>
      </c>
      <c r="U370" s="1"/>
    </row>
    <row r="371" spans="2:21" ht="13.2" x14ac:dyDescent="0.25">
      <c r="B371" s="40" t="str">
        <f>[2]Base!A371</f>
        <v>AMBIPAR</v>
      </c>
      <c r="C371" s="41" t="str">
        <f>[2]Base!C371</f>
        <v>NM</v>
      </c>
      <c r="D371" s="213" t="s">
        <v>62</v>
      </c>
      <c r="E371" s="223" t="str">
        <f>[2]Base!M371</f>
        <v>Bradesco BBI</v>
      </c>
      <c r="F371" s="52" t="str">
        <f>[2]Base!F371</f>
        <v>IPO</v>
      </c>
      <c r="G371" s="52" t="str">
        <f>[2]Base!G371</f>
        <v>ICVM 400</v>
      </c>
      <c r="H371" s="53">
        <f>[2]Base!X371</f>
        <v>44021</v>
      </c>
      <c r="I371" s="198">
        <f>[2]Base!W371</f>
        <v>24.75</v>
      </c>
      <c r="J371" s="227">
        <f>[2]Base!J371</f>
        <v>44025</v>
      </c>
      <c r="K371" s="258">
        <f>'[1]SITE (Imprensa)_PT'!K371</f>
        <v>5287</v>
      </c>
      <c r="L371" s="258">
        <f>[2]Base!DZ371</f>
        <v>5798</v>
      </c>
      <c r="M371" s="259">
        <f>[2]Base!AO371</f>
        <v>1082400016.5</v>
      </c>
      <c r="N371" s="259">
        <f>[2]Base!AP371</f>
        <v>0</v>
      </c>
      <c r="O371" s="259">
        <f>[2]Base!AQ371</f>
        <v>1082400016.5</v>
      </c>
      <c r="P371" s="258">
        <f>+[2]Base!ED371</f>
        <v>202370716.9165763</v>
      </c>
      <c r="Q371" s="260">
        <f>'[1]SITE (Imprensa)_PT'!P371</f>
        <v>9.7165676872474432E-2</v>
      </c>
      <c r="R371" s="210">
        <f>'[1]SITE (Imprensa)_PT'!Q371</f>
        <v>0.59682831407273906</v>
      </c>
      <c r="S371" s="210">
        <f>'[1]SITE (Imprensa)_PT'!R371</f>
        <v>0.30303731245369953</v>
      </c>
      <c r="T371" s="212">
        <f>'[1]SITE (Imprensa)_PT'!S371</f>
        <v>2.9686966010869422E-3</v>
      </c>
      <c r="U371" s="1"/>
    </row>
    <row r="372" spans="2:21" ht="13.2" x14ac:dyDescent="0.25">
      <c r="B372" s="40" t="str">
        <f>[2]Base!A372</f>
        <v>IMC S/A</v>
      </c>
      <c r="C372" s="41" t="str">
        <f>[2]Base!C372</f>
        <v>NM</v>
      </c>
      <c r="D372" s="213" t="s">
        <v>118</v>
      </c>
      <c r="E372" s="223" t="str">
        <f>[2]Base!M372</f>
        <v>BTG Pactual</v>
      </c>
      <c r="F372" s="52" t="str">
        <f>[2]Base!F372</f>
        <v>FOLLOW-ON</v>
      </c>
      <c r="G372" s="52" t="str">
        <f>[2]Base!G372</f>
        <v>ICVM 476</v>
      </c>
      <c r="H372" s="53">
        <f>[2]Base!X372</f>
        <v>44033</v>
      </c>
      <c r="I372" s="198">
        <f>[2]Base!W372</f>
        <v>4.25</v>
      </c>
      <c r="J372" s="227">
        <f>[2]Base!J372</f>
        <v>44035</v>
      </c>
      <c r="K372" s="258">
        <f>'[1]SITE (Imprensa)_PT'!K372</f>
        <v>0</v>
      </c>
      <c r="L372" s="258">
        <f>[2]Base!DZ372</f>
        <v>1766</v>
      </c>
      <c r="M372" s="259">
        <f>[2]Base!AO372</f>
        <v>384412500</v>
      </c>
      <c r="N372" s="259">
        <f>[2]Base!AP372</f>
        <v>0</v>
      </c>
      <c r="O372" s="259">
        <f>[2]Base!AQ372</f>
        <v>384412500</v>
      </c>
      <c r="P372" s="258">
        <f>+[2]Base!ED372</f>
        <v>74430751.060080931</v>
      </c>
      <c r="Q372" s="260">
        <f>'[1]SITE (Imprensa)_PT'!P372</f>
        <v>0</v>
      </c>
      <c r="R372" s="210">
        <f>'[1]SITE (Imprensa)_PT'!Q372</f>
        <v>0.71300042012161413</v>
      </c>
      <c r="S372" s="210">
        <f>'[1]SITE (Imprensa)_PT'!R372</f>
        <v>9.4527363184079602E-2</v>
      </c>
      <c r="T372" s="212">
        <f>'[1]SITE (Imprensa)_PT'!S372</f>
        <v>0.19247221669430625</v>
      </c>
      <c r="U372" s="1"/>
    </row>
    <row r="373" spans="2:21" ht="13.2" x14ac:dyDescent="0.25">
      <c r="B373" s="40" t="str">
        <f>[2]Base!A373</f>
        <v>IRANI</v>
      </c>
      <c r="C373" s="41" t="str">
        <f>[2]Base!C373</f>
        <v>BÁSICO</v>
      </c>
      <c r="D373" s="213" t="s">
        <v>148</v>
      </c>
      <c r="E373" s="223" t="str">
        <f>[2]Base!M373</f>
        <v>BTG Pactual</v>
      </c>
      <c r="F373" s="52" t="str">
        <f>[2]Base!F373</f>
        <v>FOLLOW-ON</v>
      </c>
      <c r="G373" s="52" t="str">
        <f>[2]Base!G373</f>
        <v>ICVM 476</v>
      </c>
      <c r="H373" s="53">
        <f>[2]Base!X373</f>
        <v>44034</v>
      </c>
      <c r="I373" s="198">
        <f>[2]Base!W373</f>
        <v>4.5</v>
      </c>
      <c r="J373" s="227">
        <f>[2]Base!J373</f>
        <v>44036</v>
      </c>
      <c r="K373" s="258">
        <f>'[1]SITE (Imprensa)_PT'!K373</f>
        <v>0</v>
      </c>
      <c r="L373" s="258">
        <f>[2]Base!DZ373</f>
        <v>105</v>
      </c>
      <c r="M373" s="259">
        <f>[2]Base!AO373</f>
        <v>405000000</v>
      </c>
      <c r="N373" s="259">
        <f>[2]Base!AP373</f>
        <v>0</v>
      </c>
      <c r="O373" s="259">
        <f>[2]Base!AQ373</f>
        <v>405000000</v>
      </c>
      <c r="P373" s="258">
        <f>+[2]Base!ED373</f>
        <v>77666551.605108738</v>
      </c>
      <c r="Q373" s="260">
        <f>'[1]SITE (Imprensa)_PT'!P373</f>
        <v>4.4944444444444441E-3</v>
      </c>
      <c r="R373" s="210">
        <f>'[1]SITE (Imprensa)_PT'!Q373</f>
        <v>0.76062677777777776</v>
      </c>
      <c r="S373" s="210">
        <f>'[1]SITE (Imprensa)_PT'!R373</f>
        <v>0.23</v>
      </c>
      <c r="T373" s="212">
        <f>'[1]SITE (Imprensa)_PT'!S373</f>
        <v>4.8787777777777779E-3</v>
      </c>
      <c r="U373" s="1"/>
    </row>
    <row r="374" spans="2:21" ht="13.2" x14ac:dyDescent="0.25">
      <c r="B374" s="40" t="str">
        <f>[2]Base!A374</f>
        <v>DIMED</v>
      </c>
      <c r="C374" s="41" t="str">
        <f>[2]Base!C374</f>
        <v>BÁSICO</v>
      </c>
      <c r="D374" s="213" t="s">
        <v>128</v>
      </c>
      <c r="E374" s="223" t="str">
        <f>[2]Base!M374</f>
        <v>Bradesco BBI</v>
      </c>
      <c r="F374" s="52" t="str">
        <f>[2]Base!F374</f>
        <v>FOLLOW-ON</v>
      </c>
      <c r="G374" s="52" t="str">
        <f>[2]Base!G374</f>
        <v>ICVM 476</v>
      </c>
      <c r="H374" s="53">
        <f>[2]Base!X374</f>
        <v>44034</v>
      </c>
      <c r="I374" s="198">
        <f>[2]Base!W374</f>
        <v>30</v>
      </c>
      <c r="J374" s="227">
        <f>[2]Base!J374</f>
        <v>44036</v>
      </c>
      <c r="K374" s="258">
        <f>'[1]SITE (Imprensa)_PT'!K374</f>
        <v>0</v>
      </c>
      <c r="L374" s="258">
        <f>[2]Base!DZ374</f>
        <v>809</v>
      </c>
      <c r="M374" s="259">
        <f>[2]Base!AO374</f>
        <v>480000000</v>
      </c>
      <c r="N374" s="259">
        <f>[2]Base!AP374</f>
        <v>556713360</v>
      </c>
      <c r="O374" s="259">
        <f>[2]Base!AQ374</f>
        <v>1036713360</v>
      </c>
      <c r="P374" s="258">
        <f>+[2]Base!ED374</f>
        <v>198809757.22011277</v>
      </c>
      <c r="Q374" s="260">
        <f>'[1]SITE (Imprensa)_PT'!P374</f>
        <v>0</v>
      </c>
      <c r="R374" s="210">
        <f>'[1]SITE (Imprensa)_PT'!Q374</f>
        <v>0.5578050040755721</v>
      </c>
      <c r="S374" s="210">
        <f>'[1]SITE (Imprensa)_PT'!R374</f>
        <v>0.41091396757923521</v>
      </c>
      <c r="T374" s="212">
        <f>'[1]SITE (Imprensa)_PT'!S374</f>
        <v>3.1281028345192738E-2</v>
      </c>
      <c r="U374" s="1"/>
    </row>
    <row r="375" spans="2:21" ht="13.2" x14ac:dyDescent="0.25">
      <c r="B375" s="40" t="str">
        <f>[2]Base!A375</f>
        <v>GRUPO SOMA</v>
      </c>
      <c r="C375" s="41" t="str">
        <f>[2]Base!C375</f>
        <v>NM</v>
      </c>
      <c r="D375" s="213" t="s">
        <v>138</v>
      </c>
      <c r="E375" s="223" t="str">
        <f>[2]Base!M375</f>
        <v>Itaú BBA</v>
      </c>
      <c r="F375" s="52" t="str">
        <f>[2]Base!F375</f>
        <v>IPO</v>
      </c>
      <c r="G375" s="52" t="str">
        <f>[2]Base!G375</f>
        <v>ICVM 400</v>
      </c>
      <c r="H375" s="53">
        <f>[2]Base!X375</f>
        <v>44041</v>
      </c>
      <c r="I375" s="198">
        <f>[2]Base!W375</f>
        <v>9.9</v>
      </c>
      <c r="J375" s="227">
        <f>[2]Base!J375</f>
        <v>44043</v>
      </c>
      <c r="K375" s="258">
        <f>'[1]SITE (Imprensa)_PT'!K375</f>
        <v>6726</v>
      </c>
      <c r="L375" s="258">
        <f>[2]Base!DZ375</f>
        <v>7229</v>
      </c>
      <c r="M375" s="259">
        <f>[2]Base!AO375</f>
        <v>1349999996.4000001</v>
      </c>
      <c r="N375" s="259">
        <f>[2]Base!AP375</f>
        <v>472499992.80000001</v>
      </c>
      <c r="O375" s="259">
        <f>[2]Base!AQ375</f>
        <v>1822499989.2</v>
      </c>
      <c r="P375" s="258">
        <f>+[2]Base!ED375</f>
        <v>350258487.72894126</v>
      </c>
      <c r="Q375" s="260">
        <f>'[1]SITE (Imprensa)_PT'!P375</f>
        <v>0.13093826447963416</v>
      </c>
      <c r="R375" s="210">
        <f>'[1]SITE (Imprensa)_PT'!Q375</f>
        <v>0.71711512227426233</v>
      </c>
      <c r="S375" s="210">
        <f>'[1]SITE (Imprensa)_PT'!R375</f>
        <v>0.14826382408847699</v>
      </c>
      <c r="T375" s="212">
        <f>'[1]SITE (Imprensa)_PT'!S375</f>
        <v>3.6827891576264051E-3</v>
      </c>
      <c r="U375" s="1"/>
    </row>
    <row r="376" spans="2:21" ht="13.2" x14ac:dyDescent="0.25">
      <c r="B376" s="40" t="str">
        <f>[2]Base!A376</f>
        <v>D1000VFARMA</v>
      </c>
      <c r="C376" s="41" t="str">
        <f>[2]Base!C376</f>
        <v>NM</v>
      </c>
      <c r="D376" s="213" t="s">
        <v>128</v>
      </c>
      <c r="E376" s="213" t="str">
        <f>[2]Base!M376</f>
        <v>XP Investimentos</v>
      </c>
      <c r="F376" s="19" t="str">
        <f>[2]Base!F376</f>
        <v>IPO</v>
      </c>
      <c r="G376" s="19" t="str">
        <f>[2]Base!G376</f>
        <v>ICVM 400</v>
      </c>
      <c r="H376" s="20">
        <f>[2]Base!X376</f>
        <v>44049</v>
      </c>
      <c r="I376" s="187">
        <f>[2]Base!W376</f>
        <v>17</v>
      </c>
      <c r="J376" s="188">
        <f>[2]Base!J376</f>
        <v>44053</v>
      </c>
      <c r="K376" s="189">
        <f>'[1]SITE (Imprensa)_PT'!K376</f>
        <v>6213</v>
      </c>
      <c r="L376" s="189">
        <f>[2]Base!DZ376</f>
        <v>6526</v>
      </c>
      <c r="M376" s="190">
        <f>[2]Base!AO376</f>
        <v>400115485</v>
      </c>
      <c r="N376" s="190">
        <f>[2]Base!AP376</f>
        <v>0</v>
      </c>
      <c r="O376" s="190">
        <f>[2]Base!AQ376</f>
        <v>400115485</v>
      </c>
      <c r="P376" s="189">
        <f>+[2]Base!ED376</f>
        <v>74187507.648378551</v>
      </c>
      <c r="Q376" s="191">
        <f>'[1]SITE (Imprensa)_PT'!P376</f>
        <v>0.31911968369913735</v>
      </c>
      <c r="R376" s="157">
        <f>'[1]SITE (Imprensa)_PT'!Q376</f>
        <v>0.59082652867635743</v>
      </c>
      <c r="S376" s="157">
        <f>'[1]SITE (Imprensa)_PT'!R376</f>
        <v>6.9918443870100586E-2</v>
      </c>
      <c r="T376" s="158">
        <f>'[1]SITE (Imprensa)_PT'!S376</f>
        <v>2.0135343754404639E-2</v>
      </c>
      <c r="U376" s="1"/>
    </row>
    <row r="377" spans="2:21" ht="13.2" x14ac:dyDescent="0.25">
      <c r="B377" s="40" t="str">
        <f>[2]Base!A377</f>
        <v>QUERO-QUERO</v>
      </c>
      <c r="C377" s="41" t="str">
        <f>[2]Base!C377</f>
        <v>NM</v>
      </c>
      <c r="D377" s="213" t="s">
        <v>140</v>
      </c>
      <c r="E377" s="213" t="str">
        <f>[2]Base!M377</f>
        <v>BTG Pactual</v>
      </c>
      <c r="F377" s="19" t="str">
        <f>[2]Base!F377</f>
        <v>IPO</v>
      </c>
      <c r="G377" s="19" t="str">
        <f>[2]Base!G377</f>
        <v>ICVM 400</v>
      </c>
      <c r="H377" s="20">
        <f>[2]Base!X377</f>
        <v>44049</v>
      </c>
      <c r="I377" s="187">
        <f>[2]Base!W377</f>
        <v>12.65</v>
      </c>
      <c r="J377" s="188">
        <f>[2]Base!J377</f>
        <v>44053</v>
      </c>
      <c r="K377" s="189">
        <f>'[1]SITE (Imprensa)_PT'!K377</f>
        <v>10049</v>
      </c>
      <c r="L377" s="189">
        <f>[2]Base!DZ377</f>
        <v>10844</v>
      </c>
      <c r="M377" s="190">
        <f>[2]Base!AO377</f>
        <v>279867259.10000002</v>
      </c>
      <c r="N377" s="190">
        <f>[2]Base!AP377</f>
        <v>1951899022.7</v>
      </c>
      <c r="O377" s="190">
        <f>[2]Base!AQ377</f>
        <v>2231766281.8000002</v>
      </c>
      <c r="P377" s="189">
        <f>+[2]Base!ED377</f>
        <v>413803475.01529682</v>
      </c>
      <c r="Q377" s="191">
        <f>'[1]SITE (Imprensa)_PT'!P377</f>
        <v>9.8577852794944049E-2</v>
      </c>
      <c r="R377" s="157">
        <f>'[1]SITE (Imprensa)_PT'!Q377</f>
        <v>0.54763831395205553</v>
      </c>
      <c r="S377" s="157">
        <f>'[1]SITE (Imprensa)_PT'!R377</f>
        <v>0.34977499573584603</v>
      </c>
      <c r="T377" s="158">
        <f>'[1]SITE (Imprensa)_PT'!S377</f>
        <v>4.0088375171543926E-3</v>
      </c>
      <c r="U377" s="1"/>
    </row>
    <row r="378" spans="2:21" ht="13.2" x14ac:dyDescent="0.25">
      <c r="B378" s="40" t="str">
        <f>[2]Base!A378</f>
        <v>RUMO S.A.</v>
      </c>
      <c r="C378" s="41" t="str">
        <f>[2]Base!C378</f>
        <v>NM</v>
      </c>
      <c r="D378" s="213" t="s">
        <v>137</v>
      </c>
      <c r="E378" s="213" t="str">
        <f>[2]Base!M378</f>
        <v>Bradesco BBI</v>
      </c>
      <c r="F378" s="19" t="str">
        <f>[2]Base!F378</f>
        <v>FOLLOW-ON</v>
      </c>
      <c r="G378" s="19" t="str">
        <f>[2]Base!G378</f>
        <v>ICVM 476</v>
      </c>
      <c r="H378" s="20">
        <f>[2]Base!X378</f>
        <v>44067</v>
      </c>
      <c r="I378" s="187">
        <f>[2]Base!W378</f>
        <v>21.75</v>
      </c>
      <c r="J378" s="188">
        <f>[2]Base!J378</f>
        <v>44069</v>
      </c>
      <c r="K378" s="189">
        <f>'[1]SITE (Imprensa)_PT'!K378</f>
        <v>0</v>
      </c>
      <c r="L378" s="189">
        <f>[2]Base!DZ378</f>
        <v>2532</v>
      </c>
      <c r="M378" s="190">
        <f>[2]Base!AO378</f>
        <v>6400000009.5</v>
      </c>
      <c r="N378" s="190">
        <f>[2]Base!AP378</f>
        <v>0</v>
      </c>
      <c r="O378" s="190">
        <f>[2]Base!AQ378</f>
        <v>6400000009.5</v>
      </c>
      <c r="P378" s="189">
        <f>+[2]Base!ED378</f>
        <v>1149425289.0625</v>
      </c>
      <c r="Q378" s="191">
        <f>'[1]SITE (Imprensa)_PT'!P378</f>
        <v>0</v>
      </c>
      <c r="R378" s="157">
        <f>'[1]SITE (Imprensa)_PT'!Q378</f>
        <v>0.18270018324442941</v>
      </c>
      <c r="S378" s="157">
        <f>'[1]SITE (Imprensa)_PT'!R378</f>
        <v>0.17226679661929148</v>
      </c>
      <c r="T378" s="158">
        <f>'[1]SITE (Imprensa)_PT'!S378</f>
        <v>0.64503302013627906</v>
      </c>
      <c r="U378" s="1"/>
    </row>
    <row r="379" spans="2:21" ht="13.2" x14ac:dyDescent="0.25">
      <c r="B379" s="40" t="str">
        <f>[2]Base!A379</f>
        <v>BANCO INTER</v>
      </c>
      <c r="C379" s="41" t="str">
        <f>[2]Base!C379</f>
        <v>N2</v>
      </c>
      <c r="D379" s="213" t="s">
        <v>67</v>
      </c>
      <c r="E379" s="213" t="str">
        <f>[2]Base!M379</f>
        <v>Bradesco BBI</v>
      </c>
      <c r="F379" s="19" t="str">
        <f>[2]Base!F379</f>
        <v>FOLLOW-ON</v>
      </c>
      <c r="G379" s="19" t="str">
        <f>[2]Base!G379</f>
        <v>ICVM 476</v>
      </c>
      <c r="H379" s="20">
        <f>[2]Base!X379</f>
        <v>44077</v>
      </c>
      <c r="I379" s="187">
        <f>[2]Base!W379</f>
        <v>20.83</v>
      </c>
      <c r="J379" s="188">
        <f>[2]Base!J379</f>
        <v>44082</v>
      </c>
      <c r="K379" s="189">
        <f>'[1]SITE (Imprensa)_PT'!K379</f>
        <v>0</v>
      </c>
      <c r="L379" s="189">
        <f>[2]Base!DZ379</f>
        <v>802</v>
      </c>
      <c r="M379" s="190">
        <f>[2]Base!AO379</f>
        <v>1166248787</v>
      </c>
      <c r="N379" s="190">
        <f>[2]Base!AP379</f>
        <v>0</v>
      </c>
      <c r="O379" s="190">
        <f>[2]Base!AQ379</f>
        <v>1166248787</v>
      </c>
      <c r="P379" s="189">
        <f>+[2]Base!ED379</f>
        <v>217186633.95284742</v>
      </c>
      <c r="Q379" s="191">
        <f>'[1]SITE (Imprensa)_PT'!P379</f>
        <v>0</v>
      </c>
      <c r="R379" s="157">
        <f>'[1]SITE (Imprensa)_PT'!Q379</f>
        <v>0.44113518929644979</v>
      </c>
      <c r="S379" s="157">
        <f>'[1]SITE (Imprensa)_PT'!R379</f>
        <v>0.22581022309779258</v>
      </c>
      <c r="T379" s="158">
        <f>'[1]SITE (Imprensa)_PT'!S379</f>
        <v>0.33305458760575751</v>
      </c>
      <c r="U379" s="1"/>
    </row>
    <row r="380" spans="2:21" ht="13.2" x14ac:dyDescent="0.25">
      <c r="B380" s="40" t="str">
        <f>[2]Base!A380</f>
        <v>OMEGA GER</v>
      </c>
      <c r="C380" s="41" t="str">
        <f>[2]Base!C380</f>
        <v>NM</v>
      </c>
      <c r="D380" s="213" t="s">
        <v>126</v>
      </c>
      <c r="E380" s="213" t="str">
        <f>[2]Base!M380</f>
        <v>Itaú BBA</v>
      </c>
      <c r="F380" s="19" t="str">
        <f>[2]Base!F380</f>
        <v>FOLLOW-ON</v>
      </c>
      <c r="G380" s="19" t="str">
        <f>[2]Base!G380</f>
        <v>ICVM 476</v>
      </c>
      <c r="H380" s="20">
        <f>[2]Base!X380</f>
        <v>44075</v>
      </c>
      <c r="I380" s="187">
        <f>[2]Base!W380</f>
        <v>38.25</v>
      </c>
      <c r="J380" s="188">
        <f>[2]Base!J380</f>
        <v>44077</v>
      </c>
      <c r="K380" s="189">
        <f>'[1]SITE (Imprensa)_PT'!K380</f>
        <v>141</v>
      </c>
      <c r="L380" s="189">
        <f>[2]Base!DZ380</f>
        <v>382</v>
      </c>
      <c r="M380" s="190">
        <f>[2]Base!AO380</f>
        <v>896963532.75</v>
      </c>
      <c r="N380" s="190">
        <f>[2]Base!AP380</f>
        <v>0</v>
      </c>
      <c r="O380" s="190">
        <f>[2]Base!AQ380</f>
        <v>896963532.75</v>
      </c>
      <c r="P380" s="189">
        <f>+[2]Base!ED380</f>
        <v>168986516.84281918</v>
      </c>
      <c r="Q380" s="191">
        <f>'[1]SITE (Imprensa)_PT'!P380</f>
        <v>4.7552184055054607E-4</v>
      </c>
      <c r="R380" s="157">
        <f>'[1]SITE (Imprensa)_PT'!Q380</f>
        <v>0.60618791611625866</v>
      </c>
      <c r="S380" s="157">
        <f>'[1]SITE (Imprensa)_PT'!R380</f>
        <v>0.38317384453331332</v>
      </c>
      <c r="T380" s="158">
        <f>'[1]SITE (Imprensa)_PT'!S380</f>
        <v>1.0162717509877494E-2</v>
      </c>
      <c r="U380" s="1"/>
    </row>
    <row r="381" spans="2:21" ht="13.2" x14ac:dyDescent="0.25">
      <c r="B381" s="40" t="str">
        <f>[2]Base!A381</f>
        <v>LAVVI</v>
      </c>
      <c r="C381" s="41" t="str">
        <f>[2]Base!C381</f>
        <v>NM</v>
      </c>
      <c r="D381" s="213" t="s">
        <v>82</v>
      </c>
      <c r="E381" s="213" t="str">
        <f>[2]Base!M381</f>
        <v>BTG Pactual</v>
      </c>
      <c r="F381" s="19" t="str">
        <f>[2]Base!F381</f>
        <v>IPO</v>
      </c>
      <c r="G381" s="19" t="str">
        <f>[2]Base!G381</f>
        <v>ICVM 400</v>
      </c>
      <c r="H381" s="20">
        <f>[2]Base!X381</f>
        <v>44074</v>
      </c>
      <c r="I381" s="187">
        <f>[2]Base!W381</f>
        <v>9.5</v>
      </c>
      <c r="J381" s="188">
        <f>[2]Base!J381</f>
        <v>44076</v>
      </c>
      <c r="K381" s="189">
        <f>'[1]SITE (Imprensa)_PT'!K381</f>
        <v>1392</v>
      </c>
      <c r="L381" s="189">
        <f>[2]Base!DZ381</f>
        <v>1633</v>
      </c>
      <c r="M381" s="190">
        <f>[2]Base!AO381</f>
        <v>1027064000</v>
      </c>
      <c r="N381" s="190">
        <f>[2]Base!AP381</f>
        <v>0</v>
      </c>
      <c r="O381" s="190">
        <f>[2]Base!AQ381</f>
        <v>1027064000</v>
      </c>
      <c r="P381" s="189">
        <f>+[2]Base!ED381</f>
        <v>191113674.8478815</v>
      </c>
      <c r="Q381" s="191">
        <f>'[1]SITE (Imprensa)_PT'!P381</f>
        <v>0.15468951282639321</v>
      </c>
      <c r="R381" s="157">
        <f>'[1]SITE (Imprensa)_PT'!Q381</f>
        <v>0.71497606722799201</v>
      </c>
      <c r="S381" s="157">
        <f>'[1]SITE (Imprensa)_PT'!R381</f>
        <v>0.12948795170854766</v>
      </c>
      <c r="T381" s="158">
        <f>'[1]SITE (Imprensa)_PT'!S381</f>
        <v>8.4646823706712967E-4</v>
      </c>
      <c r="U381" s="1"/>
    </row>
    <row r="382" spans="2:21" ht="13.2" x14ac:dyDescent="0.25">
      <c r="B382" s="40" t="str">
        <f>[2]Base!A382</f>
        <v>PAGUE MENOS</v>
      </c>
      <c r="C382" s="41" t="str">
        <f>[2]Base!C382</f>
        <v>NM</v>
      </c>
      <c r="D382" s="213" t="s">
        <v>128</v>
      </c>
      <c r="E382" s="213" t="str">
        <f>[2]Base!M382</f>
        <v>Itaú BBA</v>
      </c>
      <c r="F382" s="19" t="str">
        <f>[2]Base!F382</f>
        <v>IPO</v>
      </c>
      <c r="G382" s="19" t="str">
        <f>[2]Base!G382</f>
        <v>ICVM 400</v>
      </c>
      <c r="H382" s="20">
        <f>[2]Base!X382</f>
        <v>44074</v>
      </c>
      <c r="I382" s="187">
        <f>[2]Base!W382</f>
        <v>8.5</v>
      </c>
      <c r="J382" s="188">
        <f>[2]Base!J382</f>
        <v>44076</v>
      </c>
      <c r="K382" s="189">
        <f>'[1]SITE (Imprensa)_PT'!K382</f>
        <v>10193</v>
      </c>
      <c r="L382" s="189">
        <f>[2]Base!DZ382</f>
        <v>10569</v>
      </c>
      <c r="M382" s="190">
        <f>[2]Base!AO382</f>
        <v>858963097</v>
      </c>
      <c r="N382" s="190">
        <f>[2]Base!AP382</f>
        <v>0</v>
      </c>
      <c r="O382" s="190">
        <f>[2]Base!AQ382</f>
        <v>858963097</v>
      </c>
      <c r="P382" s="189">
        <f>+[2]Base!ED382</f>
        <v>159833850.69127852</v>
      </c>
      <c r="Q382" s="191">
        <f>'[1]SITE (Imprensa)_PT'!P382</f>
        <v>9.5005791034582718E-2</v>
      </c>
      <c r="R382" s="157">
        <f>'[1]SITE (Imprensa)_PT'!Q382</f>
        <v>0.2850157106341904</v>
      </c>
      <c r="S382" s="157">
        <f>'[1]SITE (Imprensa)_PT'!R382</f>
        <v>0.48223761119274255</v>
      </c>
      <c r="T382" s="158">
        <f>'[1]SITE (Imprensa)_PT'!S382</f>
        <v>0.13774088713848437</v>
      </c>
      <c r="U382" s="1"/>
    </row>
    <row r="383" spans="2:21" ht="13.2" x14ac:dyDescent="0.25">
      <c r="B383" s="40" t="str">
        <f>[2]Base!A383</f>
        <v>BANCO PAN</v>
      </c>
      <c r="C383" s="41" t="str">
        <f>[2]Base!C383</f>
        <v>N1</v>
      </c>
      <c r="D383" s="213" t="s">
        <v>67</v>
      </c>
      <c r="E383" s="213" t="str">
        <f>[2]Base!M383</f>
        <v>BTG Pactual</v>
      </c>
      <c r="F383" s="19" t="str">
        <f>[2]Base!F383</f>
        <v>FOLLOW-ON</v>
      </c>
      <c r="G383" s="19" t="str">
        <f>[2]Base!G383</f>
        <v>ICVM 476</v>
      </c>
      <c r="H383" s="20">
        <f>[2]Base!X383</f>
        <v>44070</v>
      </c>
      <c r="I383" s="187">
        <f>[2]Base!W383</f>
        <v>8.3000000000000007</v>
      </c>
      <c r="J383" s="188">
        <f>[2]Base!J383</f>
        <v>44074</v>
      </c>
      <c r="K383" s="189">
        <f>'[1]SITE (Imprensa)_PT'!K383</f>
        <v>0</v>
      </c>
      <c r="L383" s="189">
        <f>[2]Base!DZ383</f>
        <v>46</v>
      </c>
      <c r="M383" s="190">
        <f>[2]Base!AO383</f>
        <v>0</v>
      </c>
      <c r="N383" s="190">
        <f>[2]Base!AP383</f>
        <v>743677219.50000012</v>
      </c>
      <c r="O383" s="190">
        <f>[2]Base!AQ383</f>
        <v>743677219.50000012</v>
      </c>
      <c r="P383" s="189">
        <f>+[2]Base!ED383</f>
        <v>135923312.4668726</v>
      </c>
      <c r="Q383" s="191">
        <f>'[1]SITE (Imprensa)_PT'!P383</f>
        <v>0</v>
      </c>
      <c r="R383" s="157">
        <f>'[1]SITE (Imprensa)_PT'!Q383</f>
        <v>0.28551357865009874</v>
      </c>
      <c r="S383" s="157">
        <f>'[1]SITE (Imprensa)_PT'!R383</f>
        <v>0.24573466876243341</v>
      </c>
      <c r="T383" s="158">
        <f>'[1]SITE (Imprensa)_PT'!S383</f>
        <v>0.46875175258746782</v>
      </c>
      <c r="U383" s="1"/>
    </row>
    <row r="384" spans="2:21" ht="13.2" x14ac:dyDescent="0.25">
      <c r="B384" s="40" t="str">
        <f>[2]Base!A384</f>
        <v>PETZ</v>
      </c>
      <c r="C384" s="41" t="str">
        <f>[2]Base!C384</f>
        <v>NM</v>
      </c>
      <c r="D384" s="213" t="s">
        <v>140</v>
      </c>
      <c r="E384" s="213" t="str">
        <f>[2]Base!M384</f>
        <v>Itaú BBA</v>
      </c>
      <c r="F384" s="19" t="str">
        <f>[2]Base!F384</f>
        <v>IPO</v>
      </c>
      <c r="G384" s="19" t="str">
        <f>[2]Base!G384</f>
        <v>ICVM 400</v>
      </c>
      <c r="H384" s="20">
        <f>[2]Base!X384</f>
        <v>44144</v>
      </c>
      <c r="I384" s="187">
        <f>[2]Base!W384</f>
        <v>13.75</v>
      </c>
      <c r="J384" s="188">
        <f>[2]Base!J384</f>
        <v>44085</v>
      </c>
      <c r="K384" s="189">
        <f>'[1]SITE (Imprensa)_PT'!K384</f>
        <v>37928</v>
      </c>
      <c r="L384" s="189">
        <f>[2]Base!DZ384</f>
        <v>39168</v>
      </c>
      <c r="M384" s="190">
        <f>[2]Base!AO384</f>
        <v>336734695</v>
      </c>
      <c r="N384" s="190">
        <f>[2]Base!AP384</f>
        <v>2693877532.5</v>
      </c>
      <c r="O384" s="190">
        <f>[2]Base!AQ384</f>
        <v>3030612227.5</v>
      </c>
      <c r="P384" s="189">
        <f>+[2]Base!ED384</f>
        <v>573393163.71513987</v>
      </c>
      <c r="Q384" s="191">
        <f>'[1]SITE (Imprensa)_PT'!P384</f>
        <v>0.12573764396256795</v>
      </c>
      <c r="R384" s="157">
        <f>'[1]SITE (Imprensa)_PT'!Q384</f>
        <v>0.59226017228890104</v>
      </c>
      <c r="S384" s="157">
        <f>'[1]SITE (Imprensa)_PT'!R384</f>
        <v>0.27607715815896144</v>
      </c>
      <c r="T384" s="158">
        <f>'[1]SITE (Imprensa)_PT'!S384</f>
        <v>5.9250255895695915E-3</v>
      </c>
      <c r="U384" s="1"/>
    </row>
    <row r="385" spans="2:21" ht="13.2" x14ac:dyDescent="0.25">
      <c r="B385" s="40" t="str">
        <f>[2]Base!A385</f>
        <v>PLANOEPLANO</v>
      </c>
      <c r="C385" s="41" t="str">
        <f>[2]Base!C385</f>
        <v>NM</v>
      </c>
      <c r="D385" s="213" t="s">
        <v>140</v>
      </c>
      <c r="E385" s="213" t="str">
        <f>[2]Base!M385</f>
        <v>Itaú BBA</v>
      </c>
      <c r="F385" s="19" t="str">
        <f>[2]Base!F385</f>
        <v>IPO</v>
      </c>
      <c r="G385" s="19" t="str">
        <f>[2]Base!G385</f>
        <v>ICVM 400</v>
      </c>
      <c r="H385" s="20">
        <f>[2]Base!X385</f>
        <v>44089</v>
      </c>
      <c r="I385" s="187">
        <f>[2]Base!W385</f>
        <v>9.4</v>
      </c>
      <c r="J385" s="188">
        <f>[2]Base!J385</f>
        <v>44091</v>
      </c>
      <c r="K385" s="189">
        <f>'[1]SITE (Imprensa)_PT'!K385</f>
        <v>613</v>
      </c>
      <c r="L385" s="189">
        <f>[2]Base!DZ385</f>
        <v>708</v>
      </c>
      <c r="M385" s="190">
        <f>[2]Base!AO385</f>
        <v>40006400</v>
      </c>
      <c r="N385" s="190">
        <f>[2]Base!AP385</f>
        <v>593415420</v>
      </c>
      <c r="O385" s="190">
        <f>[2]Base!AQ385</f>
        <v>633421820</v>
      </c>
      <c r="P385" s="189">
        <f>+[2]Base!ED385</f>
        <v>120438427.1671135</v>
      </c>
      <c r="Q385" s="191">
        <f>'[1]SITE (Imprensa)_PT'!P385</f>
        <v>6.2766628748918668E-2</v>
      </c>
      <c r="R385" s="157">
        <f>'[1]SITE (Imprensa)_PT'!Q385</f>
        <v>0.80233199599479599</v>
      </c>
      <c r="S385" s="157">
        <f>'[1]SITE (Imprensa)_PT'!R385</f>
        <v>0.13486516494220382</v>
      </c>
      <c r="T385" s="158">
        <f>'[1]SITE (Imprensa)_PT'!S385</f>
        <v>3.6210314081561757E-5</v>
      </c>
      <c r="U385" s="1"/>
    </row>
    <row r="386" spans="2:21" ht="13.2" x14ac:dyDescent="0.25">
      <c r="B386" s="40" t="str">
        <f>[2]Base!A386</f>
        <v>JSL</v>
      </c>
      <c r="C386" s="41" t="str">
        <f>[2]Base!C386</f>
        <v>NM</v>
      </c>
      <c r="D386" s="213" t="s">
        <v>103</v>
      </c>
      <c r="E386" s="213" t="str">
        <f>[2]Base!M386</f>
        <v>XP Investimentos</v>
      </c>
      <c r="F386" s="19" t="str">
        <f>[2]Base!F386</f>
        <v>FOLLOW-ON</v>
      </c>
      <c r="G386" s="19" t="str">
        <f>[2]Base!G386</f>
        <v>ICVM 476</v>
      </c>
      <c r="H386" s="20">
        <f>[2]Base!X386</f>
        <v>44082</v>
      </c>
      <c r="I386" s="187">
        <f>[2]Base!W386</f>
        <v>9.6</v>
      </c>
      <c r="J386" s="188">
        <f>[2]Base!J386</f>
        <v>44084</v>
      </c>
      <c r="K386" s="189">
        <f>'[1]SITE (Imprensa)_PT'!K386</f>
        <v>1819</v>
      </c>
      <c r="L386" s="189">
        <f>[2]Base!DZ386</f>
        <v>2144</v>
      </c>
      <c r="M386" s="190">
        <f>[2]Base!AO386</f>
        <v>763020844.79999995</v>
      </c>
      <c r="N386" s="190">
        <f>[2]Base!AP386</f>
        <v>0</v>
      </c>
      <c r="O386" s="190">
        <f>[2]Base!AQ386</f>
        <v>763020844.79999995</v>
      </c>
      <c r="P386" s="189">
        <f>+[2]Base!ED386</f>
        <v>144140253.28698805</v>
      </c>
      <c r="Q386" s="191">
        <f>'[1]SITE (Imprensa)_PT'!P386</f>
        <v>1.2636702215556565E-2</v>
      </c>
      <c r="R386" s="157">
        <f>'[1]SITE (Imprensa)_PT'!Q386</f>
        <v>0.38860168659968963</v>
      </c>
      <c r="S386" s="157">
        <f>'[1]SITE (Imprensa)_PT'!R386</f>
        <v>0.48416970534642984</v>
      </c>
      <c r="T386" s="158">
        <f>'[1]SITE (Imprensa)_PT'!S386</f>
        <v>0.11459190583832396</v>
      </c>
      <c r="U386" s="1"/>
    </row>
    <row r="387" spans="2:21" ht="13.2" x14ac:dyDescent="0.25">
      <c r="B387" s="40" t="str">
        <f>[2]Base!A387</f>
        <v>SANTOS BRP</v>
      </c>
      <c r="C387" s="41" t="str">
        <f>[2]Base!C387</f>
        <v>NM</v>
      </c>
      <c r="D387" s="213" t="s">
        <v>99</v>
      </c>
      <c r="E387" s="213" t="str">
        <f>[2]Base!M387</f>
        <v>BTG Pactual</v>
      </c>
      <c r="F387" s="19" t="str">
        <f>[2]Base!F387</f>
        <v>FOLLOW-ON</v>
      </c>
      <c r="G387" s="19" t="str">
        <f>[2]Base!G387</f>
        <v>ICVM 476</v>
      </c>
      <c r="H387" s="20">
        <f>[2]Base!X387</f>
        <v>44098</v>
      </c>
      <c r="I387" s="187">
        <f>[2]Base!W387</f>
        <v>4.0999999999999996</v>
      </c>
      <c r="J387" s="188">
        <f>[2]Base!J387</f>
        <v>44102</v>
      </c>
      <c r="K387" s="189">
        <f>'[1]SITE (Imprensa)_PT'!K387</f>
        <v>0</v>
      </c>
      <c r="L387" s="189">
        <f>[2]Base!DZ387</f>
        <v>2244</v>
      </c>
      <c r="M387" s="190">
        <f>[2]Base!AO387</f>
        <v>789987999.99999988</v>
      </c>
      <c r="N387" s="190">
        <f>[2]Base!AP387</f>
        <v>0</v>
      </c>
      <c r="O387" s="190">
        <f>[2]Base!AQ387</f>
        <v>789987999.99999988</v>
      </c>
      <c r="P387" s="189">
        <f>+[2]Base!ED387</f>
        <v>141793445.09459022</v>
      </c>
      <c r="Q387" s="191">
        <f>'[1]SITE (Imprensa)_PT'!P387</f>
        <v>1.9690678845754621E-3</v>
      </c>
      <c r="R387" s="157">
        <f>'[1]SITE (Imprensa)_PT'!Q387</f>
        <v>0.81119014947062495</v>
      </c>
      <c r="S387" s="157">
        <f>'[1]SITE (Imprensa)_PT'!R387</f>
        <v>9.3107743408760657E-2</v>
      </c>
      <c r="T387" s="158">
        <f>'[1]SITE (Imprensa)_PT'!S387</f>
        <v>9.3733039236039026E-2</v>
      </c>
      <c r="U387" s="1"/>
    </row>
    <row r="388" spans="2:21" ht="13.2" x14ac:dyDescent="0.25">
      <c r="B388" s="40" t="str">
        <f>[2]Base!A388</f>
        <v>MELNICK</v>
      </c>
      <c r="C388" s="41" t="str">
        <f>[2]Base!C388</f>
        <v>NM</v>
      </c>
      <c r="D388" s="213" t="s">
        <v>140</v>
      </c>
      <c r="E388" s="213" t="str">
        <f>[2]Base!M388</f>
        <v>BTG Pactual</v>
      </c>
      <c r="F388" s="19" t="str">
        <f>[2]Base!F388</f>
        <v>IPO</v>
      </c>
      <c r="G388" s="19" t="str">
        <f>[2]Base!G388</f>
        <v>ICVM 400</v>
      </c>
      <c r="H388" s="20">
        <f>[2]Base!X388</f>
        <v>44098</v>
      </c>
      <c r="I388" s="187">
        <f>[2]Base!W388</f>
        <v>8.5</v>
      </c>
      <c r="J388" s="188">
        <f>[2]Base!J388</f>
        <v>44102</v>
      </c>
      <c r="K388" s="189">
        <f>'[1]SITE (Imprensa)_PT'!K388</f>
        <v>2034</v>
      </c>
      <c r="L388" s="189">
        <f>[2]Base!DZ388</f>
        <v>2237</v>
      </c>
      <c r="M388" s="190">
        <f>[2]Base!AO388</f>
        <v>620500000</v>
      </c>
      <c r="N388" s="190">
        <f>[2]Base!AP388</f>
        <v>27324950</v>
      </c>
      <c r="O388" s="190">
        <f>[2]Base!AQ388</f>
        <v>647824950</v>
      </c>
      <c r="P388" s="189">
        <f>+[2]Base!ED388</f>
        <v>115977111.6044255</v>
      </c>
      <c r="Q388" s="191">
        <f>'[1]SITE (Imprensa)_PT'!P388</f>
        <v>9.8468421679571178E-2</v>
      </c>
      <c r="R388" s="157">
        <f>'[1]SITE (Imprensa)_PT'!Q388</f>
        <v>0.5916835020845741</v>
      </c>
      <c r="S388" s="157">
        <f>'[1]SITE (Imprensa)_PT'!R388</f>
        <v>0.29971767718880288</v>
      </c>
      <c r="T388" s="158">
        <f>'[1]SITE (Imprensa)_PT'!S388</f>
        <v>1.0130399047051817E-2</v>
      </c>
      <c r="U388" s="1"/>
    </row>
    <row r="389" spans="2:21" ht="13.2" x14ac:dyDescent="0.25">
      <c r="B389" s="40" t="str">
        <f>[2]Base!A389</f>
        <v>HIDROVIAS</v>
      </c>
      <c r="C389" s="41" t="str">
        <f>[2]Base!C389</f>
        <v>NM</v>
      </c>
      <c r="D389" s="213" t="s">
        <v>102</v>
      </c>
      <c r="E389" s="213" t="str">
        <f>[2]Base!M389</f>
        <v>Bank of America</v>
      </c>
      <c r="F389" s="19" t="str">
        <f>[2]Base!F389</f>
        <v>IPO</v>
      </c>
      <c r="G389" s="19" t="str">
        <f>[2]Base!G389</f>
        <v>ICVM 400</v>
      </c>
      <c r="H389" s="20">
        <f>[2]Base!X389</f>
        <v>44097</v>
      </c>
      <c r="I389" s="187">
        <f>[2]Base!W389</f>
        <v>7.56</v>
      </c>
      <c r="J389" s="188">
        <f>[2]Base!J389</f>
        <v>44099</v>
      </c>
      <c r="K389" s="189">
        <f>'[1]SITE (Imprensa)_PT'!K389</f>
        <v>2999</v>
      </c>
      <c r="L389" s="189">
        <f>[2]Base!DZ389</f>
        <v>3359</v>
      </c>
      <c r="M389" s="190">
        <f>[2]Base!AO389</f>
        <v>0</v>
      </c>
      <c r="N389" s="190">
        <f>[2]Base!AP389</f>
        <v>3019664869.1999998</v>
      </c>
      <c r="O389" s="190">
        <f>[2]Base!AQ389</f>
        <v>3019664869.1999998</v>
      </c>
      <c r="P389" s="189">
        <f>+[2]Base!ED389</f>
        <v>542451518.70946872</v>
      </c>
      <c r="Q389" s="191">
        <f>'[1]SITE (Imprensa)_PT'!P389</f>
        <v>0.11786782240205776</v>
      </c>
      <c r="R389" s="157">
        <f>'[1]SITE (Imprensa)_PT'!Q389</f>
        <v>0.52217207995779402</v>
      </c>
      <c r="S389" s="157">
        <f>'[1]SITE (Imprensa)_PT'!R389</f>
        <v>0.35568626391996866</v>
      </c>
      <c r="T389" s="158">
        <f>'[1]SITE (Imprensa)_PT'!S389</f>
        <v>4.2738337201795517E-3</v>
      </c>
      <c r="U389" s="1"/>
    </row>
    <row r="390" spans="2:21" ht="13.2" x14ac:dyDescent="0.25">
      <c r="B390" s="40" t="str">
        <f>[2]Base!A390</f>
        <v>CURY S/A</v>
      </c>
      <c r="C390" s="41" t="str">
        <f>[2]Base!C390</f>
        <v>NM</v>
      </c>
      <c r="D390" s="213" t="s">
        <v>140</v>
      </c>
      <c r="E390" s="213" t="str">
        <f>[2]Base!M390</f>
        <v>BTG Pactual</v>
      </c>
      <c r="F390" s="19" t="str">
        <f>[2]Base!F390</f>
        <v>IPO</v>
      </c>
      <c r="G390" s="19" t="str">
        <f>[2]Base!G390</f>
        <v>ICVM 400</v>
      </c>
      <c r="H390" s="20">
        <f>[2]Base!X390</f>
        <v>44091</v>
      </c>
      <c r="I390" s="187">
        <f>[2]Base!W390</f>
        <v>9.35</v>
      </c>
      <c r="J390" s="188">
        <f>[2]Base!J390</f>
        <v>44095</v>
      </c>
      <c r="K390" s="189">
        <f>'[1]SITE (Imprensa)_PT'!K390</f>
        <v>1140</v>
      </c>
      <c r="L390" s="189">
        <f>[2]Base!DZ390</f>
        <v>1377</v>
      </c>
      <c r="M390" s="190">
        <f>[2]Base!AO390</f>
        <v>169999998.29999998</v>
      </c>
      <c r="N390" s="190">
        <f>[2]Base!AP390</f>
        <v>807499996.5999999</v>
      </c>
      <c r="O390" s="190">
        <f>[2]Base!AQ390</f>
        <v>977499994.89999986</v>
      </c>
      <c r="P390" s="189">
        <f>+[2]Base!ED390</f>
        <v>179555472.97942686</v>
      </c>
      <c r="Q390" s="191">
        <f>'[1]SITE (Imprensa)_PT'!P390</f>
        <v>9.8209301381961572E-2</v>
      </c>
      <c r="R390" s="157">
        <f>'[1]SITE (Imprensa)_PT'!Q390</f>
        <v>0.78759423628310044</v>
      </c>
      <c r="S390" s="157">
        <f>'[1]SITE (Imprensa)_PT'!R390</f>
        <v>0.11397800233379828</v>
      </c>
      <c r="T390" s="158">
        <f>'[1]SITE (Imprensa)_PT'!S390</f>
        <v>2.184600011397913E-4</v>
      </c>
      <c r="U390" s="1"/>
    </row>
    <row r="391" spans="2:21" ht="13.2" x14ac:dyDescent="0.25">
      <c r="B391" s="40" t="str">
        <f>[2]Base!A391</f>
        <v>BOA VISTA</v>
      </c>
      <c r="C391" s="41" t="str">
        <f>[2]Base!C391</f>
        <v>NM</v>
      </c>
      <c r="D391" s="213" t="s">
        <v>104</v>
      </c>
      <c r="E391" s="213" t="str">
        <f>[2]Base!M391</f>
        <v>J.P. Morgan</v>
      </c>
      <c r="F391" s="19" t="str">
        <f>[2]Base!F391</f>
        <v>IPO</v>
      </c>
      <c r="G391" s="19" t="str">
        <f>[2]Base!G391</f>
        <v>ICVM 400</v>
      </c>
      <c r="H391" s="20">
        <f>[2]Base!X391</f>
        <v>44102</v>
      </c>
      <c r="I391" s="187">
        <f>[2]Base!W391</f>
        <v>12.2</v>
      </c>
      <c r="J391" s="188">
        <f>[2]Base!J391</f>
        <v>44104</v>
      </c>
      <c r="K391" s="189">
        <f>'[1]SITE (Imprensa)_PT'!K391</f>
        <v>1510</v>
      </c>
      <c r="L391" s="189">
        <f>[2]Base!DZ391</f>
        <v>1898</v>
      </c>
      <c r="M391" s="190">
        <f>[2]Base!AO391</f>
        <v>1299676492</v>
      </c>
      <c r="N391" s="190">
        <f>[2]Base!AP391</f>
        <v>870065582.19999993</v>
      </c>
      <c r="O391" s="190">
        <f>[2]Base!AQ391</f>
        <v>2169742074.1999998</v>
      </c>
      <c r="P391" s="189">
        <f>+[2]Base!ED391</f>
        <v>384658300.2464233</v>
      </c>
      <c r="Q391" s="191">
        <f>'[1]SITE (Imprensa)_PT'!P391</f>
        <v>9.689944786525817E-2</v>
      </c>
      <c r="R391" s="157">
        <f>'[1]SITE (Imprensa)_PT'!Q391</f>
        <v>0.28286285337684219</v>
      </c>
      <c r="S391" s="157">
        <f>'[1]SITE (Imprensa)_PT'!R391</f>
        <v>0.61713605074174949</v>
      </c>
      <c r="T391" s="158">
        <f>'[1]SITE (Imprensa)_PT'!S391</f>
        <v>2.1713689640908565E-3</v>
      </c>
      <c r="U391" s="1"/>
    </row>
    <row r="392" spans="2:21" ht="13.2" x14ac:dyDescent="0.25">
      <c r="B392" s="40" t="str">
        <f>[2]Base!A392</f>
        <v>SUZANO</v>
      </c>
      <c r="C392" s="41" t="str">
        <f>[2]Base!C392</f>
        <v>NM</v>
      </c>
      <c r="D392" s="19" t="s">
        <v>90</v>
      </c>
      <c r="E392" s="213" t="str">
        <f>[2]Base!M392</f>
        <v>J.P. Morgan</v>
      </c>
      <c r="F392" s="19" t="str">
        <f>[2]Base!F392</f>
        <v>FOLLOW-ON</v>
      </c>
      <c r="G392" s="19" t="str">
        <f>[2]Base!G392</f>
        <v>ICVM 400</v>
      </c>
      <c r="H392" s="20">
        <f>[2]Base!X392</f>
        <v>44105</v>
      </c>
      <c r="I392" s="187">
        <f>[2]Base!W392</f>
        <v>46</v>
      </c>
      <c r="J392" s="188">
        <f>[2]Base!J392</f>
        <v>44109</v>
      </c>
      <c r="K392" s="189">
        <f>'[1]SITE (Imprensa)_PT'!K392</f>
        <v>1355</v>
      </c>
      <c r="L392" s="189">
        <f>[2]Base!DZ392</f>
        <v>1946</v>
      </c>
      <c r="M392" s="190">
        <f>[2]Base!AO392</f>
        <v>0</v>
      </c>
      <c r="N392" s="190">
        <f>[2]Base!AP392</f>
        <v>6910001550</v>
      </c>
      <c r="O392" s="190">
        <f>[2]Base!AQ392</f>
        <v>6910001550</v>
      </c>
      <c r="P392" s="189">
        <f>+[2]Base!ED392</f>
        <v>1227375539.5300093</v>
      </c>
      <c r="Q392" s="191">
        <f>'[1]SITE (Imprensa)_PT'!P392</f>
        <v>4.5865058597562833E-2</v>
      </c>
      <c r="R392" s="157">
        <f>'[1]SITE (Imprensa)_PT'!Q392</f>
        <v>0.42986197506714019</v>
      </c>
      <c r="S392" s="157">
        <f>'[1]SITE (Imprensa)_PT'!R392</f>
        <v>0.51725026573981014</v>
      </c>
      <c r="T392" s="158">
        <f>'[1]SITE (Imprensa)_PT'!S392</f>
        <v>7.0227005954868419E-3</v>
      </c>
      <c r="U392" s="1"/>
    </row>
    <row r="393" spans="2:21" ht="13.2" x14ac:dyDescent="0.25">
      <c r="B393" s="40" t="str">
        <f>[2]Base!A393</f>
        <v>SEQUOIA LOG</v>
      </c>
      <c r="C393" s="41" t="str">
        <f>[2]Base!C393</f>
        <v>NM</v>
      </c>
      <c r="D393" s="213" t="s">
        <v>81</v>
      </c>
      <c r="E393" s="213" t="str">
        <f>[2]Base!M393</f>
        <v>BTG Pactual</v>
      </c>
      <c r="F393" s="19" t="str">
        <f>[2]Base!F393</f>
        <v>IPO</v>
      </c>
      <c r="G393" s="19" t="str">
        <f>[2]Base!G393</f>
        <v>ICVM 400</v>
      </c>
      <c r="H393" s="20">
        <f>[2]Base!X393</f>
        <v>44109</v>
      </c>
      <c r="I393" s="187">
        <f>[2]Base!W393</f>
        <v>12.4</v>
      </c>
      <c r="J393" s="188">
        <f>[2]Base!J393</f>
        <v>44111</v>
      </c>
      <c r="K393" s="189">
        <f>'[1]SITE (Imprensa)_PT'!K393</f>
        <v>572</v>
      </c>
      <c r="L393" s="189">
        <f>[2]Base!DZ393</f>
        <v>705</v>
      </c>
      <c r="M393" s="190">
        <f>[2]Base!AO393</f>
        <v>348070170</v>
      </c>
      <c r="N393" s="190">
        <f>[2]Base!AP393</f>
        <v>557787687.20000005</v>
      </c>
      <c r="O393" s="190">
        <f>[2]Base!AQ393</f>
        <v>905857857.20000005</v>
      </c>
      <c r="P393" s="189">
        <f>+[2]Base!ED393</f>
        <v>164089821.06693235</v>
      </c>
      <c r="Q393" s="191">
        <f>'[1]SITE (Imprensa)_PT'!P393</f>
        <v>3.8005060435304307E-2</v>
      </c>
      <c r="R393" s="157">
        <f>'[1]SITE (Imprensa)_PT'!Q393</f>
        <v>0.26971787093645905</v>
      </c>
      <c r="S393" s="157">
        <f>'[1]SITE (Imprensa)_PT'!R393</f>
        <v>0.69140133796102299</v>
      </c>
      <c r="T393" s="158">
        <f>'[1]SITE (Imprensa)_PT'!S393</f>
        <v>8.7573066721363538E-4</v>
      </c>
      <c r="U393" s="1"/>
    </row>
    <row r="394" spans="2:21" ht="13.2" x14ac:dyDescent="0.25">
      <c r="B394" s="40" t="str">
        <f>[2]Base!A394</f>
        <v>GRUPO MATEUS</v>
      </c>
      <c r="C394" s="41" t="str">
        <f>[2]Base!C394</f>
        <v>NM</v>
      </c>
      <c r="D394" s="213" t="s">
        <v>110</v>
      </c>
      <c r="E394" s="213" t="str">
        <f>[2]Base!M394</f>
        <v>XP Investimentos</v>
      </c>
      <c r="F394" s="19" t="str">
        <f>[2]Base!F394</f>
        <v>IPO</v>
      </c>
      <c r="G394" s="19" t="str">
        <f>[2]Base!G394</f>
        <v>ICVM 400</v>
      </c>
      <c r="H394" s="20">
        <f>[2]Base!X394</f>
        <v>44112</v>
      </c>
      <c r="I394" s="187">
        <f>[2]Base!W394</f>
        <v>8.9700000000000006</v>
      </c>
      <c r="J394" s="188">
        <f>[2]Base!J394</f>
        <v>44117</v>
      </c>
      <c r="K394" s="189">
        <f>'[1]SITE (Imprensa)_PT'!K394</f>
        <v>16162</v>
      </c>
      <c r="L394" s="189">
        <f>[2]Base!DZ394</f>
        <v>17115</v>
      </c>
      <c r="M394" s="190">
        <f>[2]Base!AO394</f>
        <v>3099286440.5100002</v>
      </c>
      <c r="N394" s="190">
        <f>[2]Base!AP394</f>
        <v>1062364461.6000001</v>
      </c>
      <c r="O394" s="190">
        <f>[2]Base!AQ394</f>
        <v>4161650902.1100006</v>
      </c>
      <c r="P394" s="189">
        <f>+[2]Base!ED394</f>
        <v>745027820.42464077</v>
      </c>
      <c r="Q394" s="191">
        <f>'[1]SITE (Imprensa)_PT'!P394</f>
        <v>0.10400331939365198</v>
      </c>
      <c r="R394" s="157">
        <f>'[1]SITE (Imprensa)_PT'!Q394</f>
        <v>0.60837274307573608</v>
      </c>
      <c r="S394" s="157">
        <f>'[1]SITE (Imprensa)_PT'!R394</f>
        <v>0.2734226017913573</v>
      </c>
      <c r="T394" s="158">
        <f>'[1]SITE (Imprensa)_PT'!S394</f>
        <v>1.4201335739254596E-2</v>
      </c>
      <c r="U394" s="1"/>
    </row>
    <row r="395" spans="2:21" ht="13.2" x14ac:dyDescent="0.25">
      <c r="B395" s="40" t="str">
        <f>[2]Base!A395</f>
        <v>GRUPO NATURA</v>
      </c>
      <c r="C395" s="41" t="str">
        <f>[2]Base!C395</f>
        <v>NM</v>
      </c>
      <c r="D395" s="213" t="s">
        <v>55</v>
      </c>
      <c r="E395" s="213" t="str">
        <f>[2]Base!M395</f>
        <v>Morgan Stanley</v>
      </c>
      <c r="F395" s="19" t="str">
        <f>[2]Base!F395</f>
        <v>FOLLOW-ON</v>
      </c>
      <c r="G395" s="19" t="str">
        <f>[2]Base!G395</f>
        <v>ICVM 476</v>
      </c>
      <c r="H395" s="20">
        <f>[2]Base!X395</f>
        <v>44112</v>
      </c>
      <c r="I395" s="187">
        <f>[2]Base!W395</f>
        <v>46.25</v>
      </c>
      <c r="J395" s="188">
        <f>[2]Base!J395</f>
        <v>44117</v>
      </c>
      <c r="K395" s="189">
        <f>'[1]SITE (Imprensa)_PT'!K395</f>
        <v>0</v>
      </c>
      <c r="L395" s="189">
        <f>[2]Base!DZ395</f>
        <v>1635</v>
      </c>
      <c r="M395" s="190">
        <f>[2]Base!AO395</f>
        <v>5614750000</v>
      </c>
      <c r="N395" s="190">
        <f>[2]Base!AP395</f>
        <v>0</v>
      </c>
      <c r="O395" s="190">
        <f>[2]Base!AQ395</f>
        <v>5614750000</v>
      </c>
      <c r="P395" s="189">
        <f>+[2]Base!ED395</f>
        <v>1005164789.9174708</v>
      </c>
      <c r="Q395" s="191">
        <f>'[1]SITE (Imprensa)_PT'!P395</f>
        <v>0</v>
      </c>
      <c r="R395" s="157">
        <f>'[1]SITE (Imprensa)_PT'!Q395</f>
        <v>0.36891922570016472</v>
      </c>
      <c r="S395" s="157">
        <f>'[1]SITE (Imprensa)_PT'!R395</f>
        <v>0.10215650741350907</v>
      </c>
      <c r="T395" s="158">
        <f>'[1]SITE (Imprensa)_PT'!S395</f>
        <v>0.32242509060955521</v>
      </c>
      <c r="U395" s="1"/>
    </row>
    <row r="396" spans="2:21" ht="13.2" x14ac:dyDescent="0.25">
      <c r="B396" s="40" t="str">
        <f>[2]Base!A396</f>
        <v>TRACK FIELD</v>
      </c>
      <c r="C396" s="41" t="str">
        <f>[2]Base!C396</f>
        <v>N2</v>
      </c>
      <c r="D396" s="213" t="s">
        <v>55</v>
      </c>
      <c r="E396" s="213" t="str">
        <f>[2]Base!M396</f>
        <v>BTG Pactual</v>
      </c>
      <c r="F396" s="19" t="str">
        <f>[2]Base!F396</f>
        <v>IPO</v>
      </c>
      <c r="G396" s="19" t="str">
        <f>[2]Base!G396</f>
        <v>ICVM 400</v>
      </c>
      <c r="H396" s="20">
        <f>[2]Base!X396</f>
        <v>44126</v>
      </c>
      <c r="I396" s="187">
        <f>[2]Base!W396</f>
        <v>9.25</v>
      </c>
      <c r="J396" s="188">
        <f>[2]Base!J396</f>
        <v>44130</v>
      </c>
      <c r="K396" s="189">
        <f>'[1]SITE (Imprensa)_PT'!K396</f>
        <v>1267</v>
      </c>
      <c r="L396" s="189">
        <f>[2]Base!DZ396</f>
        <v>1422</v>
      </c>
      <c r="M396" s="190">
        <f>[2]Base!AO396</f>
        <v>182391500</v>
      </c>
      <c r="N396" s="190">
        <f>[2]Base!AP396</f>
        <v>309825050</v>
      </c>
      <c r="O396" s="190">
        <f>[2]Base!AQ396</f>
        <v>492216550</v>
      </c>
      <c r="P396" s="189">
        <f>+[2]Base!ED396</f>
        <v>87383991.975571662</v>
      </c>
      <c r="Q396" s="191">
        <f>'[1]SITE (Imprensa)_PT'!P396</f>
        <v>7.403591028795084E-2</v>
      </c>
      <c r="R396" s="157">
        <f>'[1]SITE (Imprensa)_PT'!Q396</f>
        <v>0.6792292482079344</v>
      </c>
      <c r="S396" s="157">
        <f>'[1]SITE (Imprensa)_PT'!R396</f>
        <v>0.23665688024067533</v>
      </c>
      <c r="T396" s="158">
        <f>'[1]SITE (Imprensa)_PT'!S396</f>
        <v>8.0527370452185935E-3</v>
      </c>
      <c r="U396" s="1"/>
    </row>
    <row r="397" spans="2:21" ht="13.2" x14ac:dyDescent="0.25">
      <c r="B397" s="40" t="str">
        <f>[2]Base!A397</f>
        <v>MELIUZ</v>
      </c>
      <c r="C397" s="41" t="str">
        <f>[2]Base!C397</f>
        <v>NM</v>
      </c>
      <c r="D397" s="213" t="s">
        <v>141</v>
      </c>
      <c r="E397" s="213" t="str">
        <f>[2]Base!M397</f>
        <v>Itaú BBA</v>
      </c>
      <c r="F397" s="19" t="str">
        <f>[2]Base!F397</f>
        <v>IPO</v>
      </c>
      <c r="G397" s="19" t="str">
        <f>[2]Base!G397</f>
        <v>ICVM 400</v>
      </c>
      <c r="H397" s="20">
        <f>[2]Base!X397</f>
        <v>44138</v>
      </c>
      <c r="I397" s="187">
        <f>[2]Base!W397</f>
        <v>10</v>
      </c>
      <c r="J397" s="188">
        <f>[2]Base!J397</f>
        <v>44139</v>
      </c>
      <c r="K397" s="189">
        <f>'[1]SITE (Imprensa)_PT'!K397</f>
        <v>1066</v>
      </c>
      <c r="L397" s="189">
        <f>[2]Base!DZ397</f>
        <v>1256</v>
      </c>
      <c r="M397" s="190">
        <f>[2]Base!AO397</f>
        <v>334677510</v>
      </c>
      <c r="N397" s="190">
        <f>[2]Base!AP397</f>
        <v>294718120</v>
      </c>
      <c r="O397" s="190">
        <f>[2]Base!AQ397</f>
        <v>629395630</v>
      </c>
      <c r="P397" s="189">
        <f>+[2]Base!ED397</f>
        <v>110624067.14122507</v>
      </c>
      <c r="Q397" s="191">
        <f>'[1]SITE (Imprensa)_PT'!P397</f>
        <v>0.10185889040722203</v>
      </c>
      <c r="R397" s="157">
        <f>'[1]SITE (Imprensa)_PT'!Q397</f>
        <v>0.63191547132501613</v>
      </c>
      <c r="S397" s="157">
        <f>'[1]SITE (Imprensa)_PT'!R397</f>
        <v>0.26036318280768739</v>
      </c>
      <c r="T397" s="158">
        <f>'[1]SITE (Imprensa)_PT'!S397</f>
        <v>5.8624554600745105E-3</v>
      </c>
      <c r="U397" s="1"/>
    </row>
    <row r="398" spans="2:21" ht="13.2" x14ac:dyDescent="0.25">
      <c r="B398" s="40" t="str">
        <f>[2]Base!A398</f>
        <v>ENJOEI</v>
      </c>
      <c r="C398" s="41" t="str">
        <f>[2]Base!C398</f>
        <v>NM</v>
      </c>
      <c r="D398" s="213" t="s">
        <v>141</v>
      </c>
      <c r="E398" s="213" t="str">
        <f>[2]Base!M398</f>
        <v>BTG Pactual</v>
      </c>
      <c r="F398" s="19" t="str">
        <f>[2]Base!F398</f>
        <v>IPO</v>
      </c>
      <c r="G398" s="19" t="str">
        <f>[2]Base!G398</f>
        <v>ICVM 400</v>
      </c>
      <c r="H398" s="20">
        <f>[2]Base!X398</f>
        <v>44140</v>
      </c>
      <c r="I398" s="187">
        <f>[2]Base!W398</f>
        <v>10.25</v>
      </c>
      <c r="J398" s="188">
        <f>[2]Base!J398</f>
        <v>44141</v>
      </c>
      <c r="K398" s="189">
        <f>'[1]SITE (Imprensa)_PT'!K398</f>
        <v>1221</v>
      </c>
      <c r="L398" s="189">
        <f>[2]Base!DZ398</f>
        <v>1447</v>
      </c>
      <c r="M398" s="190">
        <f>[2]Base!AO398</f>
        <v>470833750</v>
      </c>
      <c r="N398" s="190">
        <f>[2]Base!AP398</f>
        <v>515883760.75</v>
      </c>
      <c r="O398" s="190">
        <f>[2]Base!AQ398</f>
        <v>986717510.75</v>
      </c>
      <c r="P398" s="189">
        <f>+[2]Base!ED398</f>
        <v>178387993.91643918</v>
      </c>
      <c r="Q398" s="191">
        <f>'[1]SITE (Imprensa)_PT'!P398</f>
        <v>0.10703065504124835</v>
      </c>
      <c r="R398" s="157">
        <f>'[1]SITE (Imprensa)_PT'!Q398</f>
        <v>0.71477944005202088</v>
      </c>
      <c r="S398" s="157">
        <f>'[1]SITE (Imprensa)_PT'!R398</f>
        <v>0.17534201808662636</v>
      </c>
      <c r="T398" s="158">
        <f>'[1]SITE (Imprensa)_PT'!S398</f>
        <v>2.8478868201044522E-3</v>
      </c>
      <c r="U398" s="1"/>
    </row>
    <row r="399" spans="2:21" ht="13.2" x14ac:dyDescent="0.25">
      <c r="B399" s="40" t="str">
        <f>[2]Base!A399</f>
        <v>AURA 360</v>
      </c>
      <c r="C399" s="41" t="str">
        <f>[2]Base!C399</f>
        <v>BDR</v>
      </c>
      <c r="D399" s="213" t="s">
        <v>147</v>
      </c>
      <c r="E399" s="213" t="str">
        <f>[2]Base!M399</f>
        <v>XP Investimentos</v>
      </c>
      <c r="F399" s="19" t="str">
        <f>[2]Base!F399</f>
        <v>FOLLOW-ON</v>
      </c>
      <c r="G399" s="19" t="str">
        <f>[2]Base!G399</f>
        <v>ICVM 400</v>
      </c>
      <c r="H399" s="20">
        <f>[2]Base!X399</f>
        <v>44141</v>
      </c>
      <c r="I399" s="187">
        <f>[2]Base!W399</f>
        <v>48.5</v>
      </c>
      <c r="J399" s="188">
        <f>[2]Base!J399</f>
        <v>44144</v>
      </c>
      <c r="K399" s="189">
        <f>'[1]SITE (Imprensa)_PT'!K399</f>
        <v>543</v>
      </c>
      <c r="L399" s="189">
        <f>[2]Base!DZ399</f>
        <v>580</v>
      </c>
      <c r="M399" s="190">
        <f>[2]Base!AO399</f>
        <v>0</v>
      </c>
      <c r="N399" s="190">
        <f>[2]Base!AP399</f>
        <v>87300000</v>
      </c>
      <c r="O399" s="190">
        <f>[2]Base!AQ399</f>
        <v>87300000</v>
      </c>
      <c r="P399" s="189">
        <f>+[2]Base!ED399</f>
        <v>16160681.229174379</v>
      </c>
      <c r="Q399" s="191">
        <f>'[1]SITE (Imprensa)_PT'!P399</f>
        <v>0.14430000000000001</v>
      </c>
      <c r="R399" s="157">
        <f>'[1]SITE (Imprensa)_PT'!Q399</f>
        <v>0.76633777777777778</v>
      </c>
      <c r="S399" s="157">
        <f>'[1]SITE (Imprensa)_PT'!R399</f>
        <v>0</v>
      </c>
      <c r="T399" s="158">
        <f>'[1]SITE (Imprensa)_PT'!S399</f>
        <v>8.9362222222222218E-2</v>
      </c>
      <c r="U399" s="1"/>
    </row>
    <row r="400" spans="2:21" ht="13.2" x14ac:dyDescent="0.25">
      <c r="B400" s="40" t="str">
        <f>[2]Base!A400</f>
        <v>AERIS</v>
      </c>
      <c r="C400" s="41" t="str">
        <f>[2]Base!C400</f>
        <v>NM</v>
      </c>
      <c r="D400" s="213" t="s">
        <v>96</v>
      </c>
      <c r="E400" s="213" t="str">
        <f>[2]Base!M400</f>
        <v>BTG Pactual</v>
      </c>
      <c r="F400" s="19" t="str">
        <f>[2]Base!F400</f>
        <v>IPO</v>
      </c>
      <c r="G400" s="19" t="str">
        <f>[2]Base!G400</f>
        <v>ICVM 400</v>
      </c>
      <c r="H400" s="20">
        <f>[2]Base!X400</f>
        <v>44144</v>
      </c>
      <c r="I400" s="187">
        <f>[2]Base!W400</f>
        <v>5.55</v>
      </c>
      <c r="J400" s="188">
        <f>[2]Base!J400</f>
        <v>44145</v>
      </c>
      <c r="K400" s="189">
        <f>'[1]SITE (Imprensa)_PT'!K400</f>
        <v>1161</v>
      </c>
      <c r="L400" s="189">
        <f>[2]Base!DZ400</f>
        <v>1330</v>
      </c>
      <c r="M400" s="190">
        <f>[2]Base!AO400</f>
        <v>834634607.70000005</v>
      </c>
      <c r="N400" s="190">
        <f>[2]Base!AP400</f>
        <v>294576883.80000001</v>
      </c>
      <c r="O400" s="190">
        <f>[2]Base!AQ400</f>
        <v>1129211491.5</v>
      </c>
      <c r="P400" s="189">
        <f>+[2]Base!ED400</f>
        <v>210297134.14407033</v>
      </c>
      <c r="Q400" s="191">
        <f>'[1]SITE (Imprensa)_PT'!P400</f>
        <v>3.4478395006662922E-2</v>
      </c>
      <c r="R400" s="157">
        <f>'[1]SITE (Imprensa)_PT'!Q400</f>
        <v>0.29991489300213164</v>
      </c>
      <c r="S400" s="157">
        <f>'[1]SITE (Imprensa)_PT'!R400</f>
        <v>0.66448168358903037</v>
      </c>
      <c r="T400" s="158">
        <f>'[1]SITE (Imprensa)_PT'!S400</f>
        <v>1.1250284021750941E-3</v>
      </c>
      <c r="U400" s="1"/>
    </row>
    <row r="401" spans="2:21" ht="13.2" x14ac:dyDescent="0.25">
      <c r="B401" s="40" t="str">
        <f>[2]Base!A401</f>
        <v>3R PETROLEUM</v>
      </c>
      <c r="C401" s="41" t="str">
        <f>[2]Base!C401</f>
        <v>NM</v>
      </c>
      <c r="D401" s="213" t="s">
        <v>139</v>
      </c>
      <c r="E401" s="213" t="str">
        <f>[2]Base!M401</f>
        <v>XP Investimentos</v>
      </c>
      <c r="F401" s="19" t="str">
        <f>[2]Base!F401</f>
        <v>IPO</v>
      </c>
      <c r="G401" s="19" t="str">
        <f>[2]Base!G401</f>
        <v>ICVM 400</v>
      </c>
      <c r="H401" s="20">
        <f>[2]Base!X401</f>
        <v>44144</v>
      </c>
      <c r="I401" s="187">
        <f>[2]Base!W401</f>
        <v>21</v>
      </c>
      <c r="J401" s="188">
        <f>[2]Base!J401</f>
        <v>44145</v>
      </c>
      <c r="K401" s="189">
        <f>'[1]SITE (Imprensa)_PT'!K401</f>
        <v>1412</v>
      </c>
      <c r="L401" s="189">
        <f>[2]Base!DZ401</f>
        <v>1516</v>
      </c>
      <c r="M401" s="190">
        <f>[2]Base!AO401</f>
        <v>690000003</v>
      </c>
      <c r="N401" s="190">
        <f>[2]Base!AP401</f>
        <v>0</v>
      </c>
      <c r="O401" s="190">
        <f>[2]Base!AQ401</f>
        <v>690000003</v>
      </c>
      <c r="P401" s="189">
        <f>+[2]Base!ED401</f>
        <v>128501192.45381406</v>
      </c>
      <c r="Q401" s="191">
        <f>'[1]SITE (Imprensa)_PT'!P401</f>
        <v>7.5767877931444003E-2</v>
      </c>
      <c r="R401" s="157">
        <f>'[1]SITE (Imprensa)_PT'!Q401</f>
        <v>0.57498298010876969</v>
      </c>
      <c r="S401" s="157">
        <f>'[1]SITE (Imprensa)_PT'!R401</f>
        <v>0.17378513402702114</v>
      </c>
      <c r="T401" s="158">
        <f>'[1]SITE (Imprensa)_PT'!S401</f>
        <v>0.17546400793276518</v>
      </c>
      <c r="U401" s="1"/>
    </row>
    <row r="402" spans="2:21" ht="13.2" x14ac:dyDescent="0.25">
      <c r="B402" s="40" t="str">
        <f>[2]Base!A402</f>
        <v>BK BRASIL</v>
      </c>
      <c r="C402" s="41" t="str">
        <f>[2]Base!C402</f>
        <v>NM</v>
      </c>
      <c r="D402" s="213" t="s">
        <v>118</v>
      </c>
      <c r="E402" s="213" t="str">
        <f>[2]Base!M402</f>
        <v>Itaú BBA</v>
      </c>
      <c r="F402" s="19" t="str">
        <f>[2]Base!F402</f>
        <v>FOLLOW-ON</v>
      </c>
      <c r="G402" s="19" t="str">
        <f>[2]Base!G402</f>
        <v>ICVM 476</v>
      </c>
      <c r="H402" s="20">
        <f>[2]Base!X402</f>
        <v>44152</v>
      </c>
      <c r="I402" s="187">
        <f>[2]Base!W402</f>
        <v>10.8</v>
      </c>
      <c r="J402" s="188">
        <f>[2]Base!J402</f>
        <v>44154</v>
      </c>
      <c r="K402" s="189">
        <f>'[1]SITE (Imprensa)_PT'!K402</f>
        <v>324</v>
      </c>
      <c r="L402" s="189">
        <f>[2]Base!DZ402</f>
        <v>505</v>
      </c>
      <c r="M402" s="190">
        <f>[2]Base!AO402</f>
        <v>510300000</v>
      </c>
      <c r="N402" s="190">
        <f>[2]Base!AP402</f>
        <v>0</v>
      </c>
      <c r="O402" s="190">
        <f>[2]Base!AQ402</f>
        <v>510300000</v>
      </c>
      <c r="P402" s="189">
        <f>+[2]Base!ED402</f>
        <v>95687230.451903239</v>
      </c>
      <c r="Q402" s="191">
        <f>'[1]SITE (Imprensa)_PT'!P402</f>
        <v>2.8301164021164015E-3</v>
      </c>
      <c r="R402" s="157">
        <f>'[1]SITE (Imprensa)_PT'!Q402</f>
        <v>0.41647214814814815</v>
      </c>
      <c r="S402" s="157">
        <f>'[1]SITE (Imprensa)_PT'!R402</f>
        <v>0.50764852910052904</v>
      </c>
      <c r="T402" s="158">
        <f>'[1]SITE (Imprensa)_PT'!S402</f>
        <v>7.3049206349206336E-2</v>
      </c>
      <c r="U402" s="1"/>
    </row>
    <row r="403" spans="2:21" ht="13.2" x14ac:dyDescent="0.25">
      <c r="B403" s="40" t="str">
        <f>[2]Base!A403</f>
        <v>ANIMA</v>
      </c>
      <c r="C403" s="41" t="str">
        <f>[2]Base!C403</f>
        <v>NM</v>
      </c>
      <c r="D403" s="213" t="s">
        <v>93</v>
      </c>
      <c r="E403" s="213" t="str">
        <f>[2]Base!M403</f>
        <v>Bradesco BBI</v>
      </c>
      <c r="F403" s="19" t="str">
        <f>[2]Base!F403</f>
        <v>FOLLOW-ON</v>
      </c>
      <c r="G403" s="19" t="str">
        <f>[2]Base!G403</f>
        <v>ICVM 476</v>
      </c>
      <c r="H403" s="20">
        <f>[2]Base!X403</f>
        <v>44168</v>
      </c>
      <c r="I403" s="187">
        <f>[2]Base!W403</f>
        <v>34</v>
      </c>
      <c r="J403" s="188">
        <f>[2]Base!J403</f>
        <v>44172</v>
      </c>
      <c r="K403" s="189">
        <f>'[1]SITE (Imprensa)_PT'!K403</f>
        <v>0</v>
      </c>
      <c r="L403" s="189">
        <f>[2]Base!DZ403</f>
        <v>297</v>
      </c>
      <c r="M403" s="190">
        <f>[2]Base!AO403</f>
        <v>918000000</v>
      </c>
      <c r="N403" s="190">
        <f>[2]Base!AP403</f>
        <v>0</v>
      </c>
      <c r="O403" s="190">
        <f>[2]Base!AQ403</f>
        <v>918000000</v>
      </c>
      <c r="P403" s="189">
        <f>+[2]Base!ED403</f>
        <v>179936493.00246972</v>
      </c>
      <c r="Q403" s="191">
        <f>'[1]SITE (Imprensa)_PT'!P403</f>
        <v>0</v>
      </c>
      <c r="R403" s="157">
        <f>'[1]SITE (Imprensa)_PT'!Q403</f>
        <v>0.45037037037037037</v>
      </c>
      <c r="S403" s="157">
        <f>'[1]SITE (Imprensa)_PT'!R403</f>
        <v>0.12278966666666667</v>
      </c>
      <c r="T403" s="158">
        <f>'[1]SITE (Imprensa)_PT'!S403</f>
        <v>0.42683996296296295</v>
      </c>
      <c r="U403" s="1"/>
    </row>
    <row r="404" spans="2:21" ht="13.2" x14ac:dyDescent="0.25">
      <c r="B404" s="40" t="str">
        <f>[2]Base!A404</f>
        <v>INTERMEDICA</v>
      </c>
      <c r="C404" s="41" t="str">
        <f>[2]Base!C404</f>
        <v>NM</v>
      </c>
      <c r="D404" s="213" t="s">
        <v>131</v>
      </c>
      <c r="E404" s="213" t="str">
        <f>[2]Base!M404</f>
        <v>Itaú  BBA</v>
      </c>
      <c r="F404" s="19" t="str">
        <f>[2]Base!F404</f>
        <v>FOLLOW-ON</v>
      </c>
      <c r="G404" s="19" t="str">
        <f>[2]Base!G404</f>
        <v>ICVM 476</v>
      </c>
      <c r="H404" s="20">
        <f>[2]Base!X404</f>
        <v>44166</v>
      </c>
      <c r="I404" s="187">
        <f>[2]Base!W404</f>
        <v>69.5</v>
      </c>
      <c r="J404" s="188">
        <f>[2]Base!J404</f>
        <v>44168</v>
      </c>
      <c r="K404" s="189">
        <f>'[1]SITE (Imprensa)_PT'!K404</f>
        <v>0</v>
      </c>
      <c r="L404" s="189">
        <f>[2]Base!DZ404</f>
        <v>436</v>
      </c>
      <c r="M404" s="190">
        <f>[2]Base!AO404</f>
        <v>0</v>
      </c>
      <c r="N404" s="190">
        <f>[2]Base!AP404</f>
        <v>3753000000</v>
      </c>
      <c r="O404" s="190">
        <f>[2]Base!AQ404</f>
        <v>3753000000</v>
      </c>
      <c r="P404" s="189">
        <f>+[2]Base!ED404</f>
        <v>726973365.61743343</v>
      </c>
      <c r="Q404" s="191">
        <f>'[1]SITE (Imprensa)_PT'!P404</f>
        <v>7.6444444444444438E-5</v>
      </c>
      <c r="R404" s="157">
        <f>'[1]SITE (Imprensa)_PT'!Q404</f>
        <v>0.46638235185185184</v>
      </c>
      <c r="S404" s="157">
        <f>'[1]SITE (Imprensa)_PT'!R404</f>
        <v>0.53335601851851855</v>
      </c>
      <c r="T404" s="158">
        <f>'[1]SITE (Imprensa)_PT'!S404</f>
        <v>1.8518518518518518E-4</v>
      </c>
      <c r="U404" s="1"/>
    </row>
    <row r="405" spans="2:21" ht="13.2" x14ac:dyDescent="0.25">
      <c r="B405" s="40" t="str">
        <f>[2]Base!A405</f>
        <v>ALPHAVILLE</v>
      </c>
      <c r="C405" s="41" t="str">
        <f>[2]Base!C405</f>
        <v>NM</v>
      </c>
      <c r="D405" s="213" t="s">
        <v>140</v>
      </c>
      <c r="E405" s="213" t="str">
        <f>[2]Base!M405</f>
        <v>Bradesco BB</v>
      </c>
      <c r="F405" s="19" t="str">
        <f>[2]Base!F405</f>
        <v>IPO</v>
      </c>
      <c r="G405" s="19" t="str">
        <f>[2]Base!G405</f>
        <v>ICVM 476</v>
      </c>
      <c r="H405" s="20">
        <f>[2]Base!X405</f>
        <v>44174</v>
      </c>
      <c r="I405" s="187">
        <f>[2]Base!W405</f>
        <v>29.5</v>
      </c>
      <c r="J405" s="188">
        <f>[2]Base!J405</f>
        <v>44172</v>
      </c>
      <c r="K405" s="189">
        <f>'[1]SITE (Imprensa)_PT'!K405</f>
        <v>6</v>
      </c>
      <c r="L405" s="189">
        <f>[2]Base!DZ405</f>
        <v>39</v>
      </c>
      <c r="M405" s="190">
        <f>[2]Base!AO405</f>
        <v>305992585</v>
      </c>
      <c r="N405" s="190">
        <f>[2]Base!AP405</f>
        <v>0</v>
      </c>
      <c r="O405" s="190">
        <f>[2]Base!AQ405</f>
        <v>305992585</v>
      </c>
      <c r="P405" s="189">
        <f>+[2]Base!ED405</f>
        <v>60364282.614270784</v>
      </c>
      <c r="Q405" s="191">
        <f>'[1]SITE (Imprensa)_PT'!P405</f>
        <v>1.6666939821433909E-2</v>
      </c>
      <c r="R405" s="157">
        <f>'[1]SITE (Imprensa)_PT'!Q405</f>
        <v>0.80600194936096248</v>
      </c>
      <c r="S405" s="157">
        <f>'[1]SITE (Imprensa)_PT'!R405</f>
        <v>4.4752391630666473E-2</v>
      </c>
      <c r="T405" s="158">
        <f>'[1]SITE (Imprensa)_PT'!S405</f>
        <v>0.13257871918693717</v>
      </c>
      <c r="U405" s="1"/>
    </row>
    <row r="406" spans="2:21" ht="13.2" x14ac:dyDescent="0.25">
      <c r="B406" s="40" t="str">
        <f>[2]Base!A406</f>
        <v>REDE D OR</v>
      </c>
      <c r="C406" s="41" t="str">
        <f>[2]Base!C406</f>
        <v>NM</v>
      </c>
      <c r="D406" s="223" t="s">
        <v>131</v>
      </c>
      <c r="E406" s="223" t="str">
        <f>[2]Base!M406</f>
        <v>Bank of America</v>
      </c>
      <c r="F406" s="52" t="str">
        <f>[2]Base!F406</f>
        <v>IPO</v>
      </c>
      <c r="G406" s="52" t="str">
        <f>[2]Base!G406</f>
        <v>ICVM 400</v>
      </c>
      <c r="H406" s="53">
        <f>[2]Base!X406</f>
        <v>44174</v>
      </c>
      <c r="I406" s="198">
        <f>[2]Base!W406</f>
        <v>57.92</v>
      </c>
      <c r="J406" s="227">
        <f>[2]Base!J406</f>
        <v>44175</v>
      </c>
      <c r="K406" s="189">
        <f>'[1]SITE (Imprensa)_PT'!K406</f>
        <v>41258</v>
      </c>
      <c r="L406" s="258">
        <f>[2]Base!DZ406</f>
        <v>43237</v>
      </c>
      <c r="M406" s="259">
        <f>[2]Base!AO406</f>
        <v>8437640047.04</v>
      </c>
      <c r="N406" s="259">
        <f>[2]Base!AP406</f>
        <v>2953173990.4000001</v>
      </c>
      <c r="O406" s="259">
        <f>[2]Base!AQ406</f>
        <v>11390814037.440001</v>
      </c>
      <c r="P406" s="258">
        <f>+[2]Base!ED406</f>
        <v>2239993321.2931643</v>
      </c>
      <c r="Q406" s="191">
        <f>'[1]SITE (Imprensa)_PT'!P406</f>
        <v>0.10520653062907245</v>
      </c>
      <c r="R406" s="157">
        <f>'[1]SITE (Imprensa)_PT'!Q406</f>
        <v>0.41673076945665166</v>
      </c>
      <c r="S406" s="157">
        <f>'[1]SITE (Imprensa)_PT'!R406</f>
        <v>0.47035108864301139</v>
      </c>
      <c r="T406" s="158">
        <f>'[1]SITE (Imprensa)_PT'!S406</f>
        <v>7.7116112712644833E-3</v>
      </c>
      <c r="U406" s="261"/>
    </row>
    <row r="407" spans="2:21" ht="13.2" x14ac:dyDescent="0.25">
      <c r="B407" s="40" t="str">
        <f>[2]Base!A407</f>
        <v>NEOGRID</v>
      </c>
      <c r="C407" s="41" t="str">
        <f>[2]Base!C407</f>
        <v>NM</v>
      </c>
      <c r="D407" s="213" t="s">
        <v>141</v>
      </c>
      <c r="E407" s="213" t="str">
        <f>[2]Base!M407</f>
        <v>Credit Suisse</v>
      </c>
      <c r="F407" s="19" t="str">
        <f>[2]Base!F407</f>
        <v>IPO</v>
      </c>
      <c r="G407" s="19" t="str">
        <f>[2]Base!G407</f>
        <v>ICVM 400</v>
      </c>
      <c r="H407" s="20">
        <f>[2]Base!X407</f>
        <v>44180</v>
      </c>
      <c r="I407" s="187">
        <f>[2]Base!W407</f>
        <v>4.5</v>
      </c>
      <c r="J407" s="188">
        <f>[2]Base!J407</f>
        <v>44183</v>
      </c>
      <c r="K407" s="189">
        <f>'[1]SITE (Imprensa)_PT'!K407</f>
        <v>2747</v>
      </c>
      <c r="L407" s="189">
        <f>[2]Base!DZ407</f>
        <v>2964</v>
      </c>
      <c r="M407" s="190">
        <f>[2]Base!AO407</f>
        <v>337500000</v>
      </c>
      <c r="N407" s="190">
        <f>[2]Base!AP407</f>
        <v>148950000</v>
      </c>
      <c r="O407" s="190">
        <f>[2]Base!AQ407</f>
        <v>486450000</v>
      </c>
      <c r="P407" s="189">
        <f>+[2]Base!ED407</f>
        <v>96113569.904370502</v>
      </c>
      <c r="Q407" s="191">
        <f>'[1]SITE (Imprensa)_PT'!P407</f>
        <v>0.18062240518038852</v>
      </c>
      <c r="R407" s="157">
        <f>'[1]SITE (Imprensa)_PT'!Q407</f>
        <v>0.54608746530989827</v>
      </c>
      <c r="S407" s="157">
        <f>'[1]SITE (Imprensa)_PT'!R407</f>
        <v>0.26540198889916744</v>
      </c>
      <c r="T407" s="158">
        <f>'[1]SITE (Imprensa)_PT'!S407</f>
        <v>7.8881406105457911E-3</v>
      </c>
      <c r="U407" s="1"/>
    </row>
    <row r="408" spans="2:21" ht="13.2" x14ac:dyDescent="0.25">
      <c r="B408" s="40" t="str">
        <f>[2]Base!A408</f>
        <v>LIGHT S/A</v>
      </c>
      <c r="C408" s="41" t="str">
        <f>[2]Base!C408</f>
        <v>NM</v>
      </c>
      <c r="D408" s="213" t="s">
        <v>126</v>
      </c>
      <c r="E408" s="213" t="str">
        <f>[2]Base!M408</f>
        <v>Itaú BBA</v>
      </c>
      <c r="F408" s="19" t="str">
        <f>[2]Base!F408</f>
        <v>FOLLOW-ON</v>
      </c>
      <c r="G408" s="19" t="str">
        <f>[2]Base!G408</f>
        <v>ICVM 476</v>
      </c>
      <c r="H408" s="20">
        <f>[2]Base!X408</f>
        <v>44215</v>
      </c>
      <c r="I408" s="187">
        <f>[2]Base!W408</f>
        <v>20</v>
      </c>
      <c r="J408" s="188">
        <f>[2]Base!J408</f>
        <v>44217</v>
      </c>
      <c r="K408" s="189">
        <f>'[1]SITE (Imprensa)_PT'!K408</f>
        <v>278</v>
      </c>
      <c r="L408" s="189">
        <f>[2]Base!DZ408</f>
        <v>663</v>
      </c>
      <c r="M408" s="190">
        <f>[2]Base!AO408</f>
        <v>1372425280</v>
      </c>
      <c r="N408" s="190">
        <f>[2]Base!AP408</f>
        <v>1372425280</v>
      </c>
      <c r="O408" s="190">
        <f>[2]Base!AQ408</f>
        <v>2744850560</v>
      </c>
      <c r="P408" s="189">
        <f>+[2]Base!ED408</f>
        <v>518434329.96505809</v>
      </c>
      <c r="Q408" s="191">
        <f>'[1]SITE (Imprensa)_PT'!P408</f>
        <v>3.2416190992926039E-3</v>
      </c>
      <c r="R408" s="157">
        <f>'[1]SITE (Imprensa)_PT'!Q408</f>
        <v>0.65935919658955855</v>
      </c>
      <c r="S408" s="157">
        <f>'[1]SITE (Imprensa)_PT'!R408</f>
        <v>0.33726310404308496</v>
      </c>
      <c r="T408" s="158">
        <f>'[1]SITE (Imprensa)_PT'!S408</f>
        <v>1.3608026806384679E-4</v>
      </c>
      <c r="U408" s="1"/>
    </row>
    <row r="409" spans="2:21" ht="13.2" x14ac:dyDescent="0.25">
      <c r="B409" s="40" t="str">
        <f>[2]Base!A409</f>
        <v>HBRREALTY</v>
      </c>
      <c r="C409" s="41" t="str">
        <f>[2]Base!C409</f>
        <v>NM</v>
      </c>
      <c r="D409" s="213" t="s">
        <v>73</v>
      </c>
      <c r="E409" s="213" t="str">
        <f>[2]Base!M409</f>
        <v>Bradesco BBI</v>
      </c>
      <c r="F409" s="19" t="str">
        <f>[2]Base!F409</f>
        <v>IPO</v>
      </c>
      <c r="G409" s="19" t="str">
        <f>[2]Base!G409</f>
        <v>ICVM 476</v>
      </c>
      <c r="H409" s="20">
        <f>[2]Base!X409</f>
        <v>44217</v>
      </c>
      <c r="I409" s="187">
        <f>[2]Base!W409</f>
        <v>19.100000000000001</v>
      </c>
      <c r="J409" s="188">
        <f>[2]Base!J409</f>
        <v>44222</v>
      </c>
      <c r="K409" s="189">
        <f>'[1]SITE (Imprensa)_PT'!K409</f>
        <v>0</v>
      </c>
      <c r="L409" s="189">
        <f>[2]Base!DZ409</f>
        <v>31</v>
      </c>
      <c r="M409" s="190">
        <f>[2]Base!AO409</f>
        <v>802582000</v>
      </c>
      <c r="N409" s="190">
        <f>[2]Base!AP409</f>
        <v>0</v>
      </c>
      <c r="O409" s="190">
        <f>[2]Base!AQ409</f>
        <v>802582000</v>
      </c>
      <c r="P409" s="189">
        <f>+[2]Base!ED409</f>
        <v>150957754.956175</v>
      </c>
      <c r="Q409" s="191">
        <f>'[1]SITE (Imprensa)_PT'!P409</f>
        <v>0</v>
      </c>
      <c r="R409" s="157">
        <f>'[1]SITE (Imprensa)_PT'!Q409</f>
        <v>0.58781532603522135</v>
      </c>
      <c r="S409" s="157">
        <f>'[1]SITE (Imprensa)_PT'!R409</f>
        <v>8.7101380295097564E-2</v>
      </c>
      <c r="T409" s="158">
        <f>'[1]SITE (Imprensa)_PT'!S409</f>
        <v>0.32508329366968108</v>
      </c>
      <c r="U409" s="1"/>
    </row>
    <row r="410" spans="2:21" ht="13.2" x14ac:dyDescent="0.25">
      <c r="B410" s="40" t="str">
        <f>[2]Base!A410</f>
        <v>VAMOS</v>
      </c>
      <c r="C410" s="41" t="str">
        <f>[2]Base!C410</f>
        <v>NM</v>
      </c>
      <c r="D410" s="213" t="s">
        <v>73</v>
      </c>
      <c r="E410" s="213" t="str">
        <f>[2]Base!M410</f>
        <v>BTG Pactual</v>
      </c>
      <c r="F410" s="19" t="str">
        <f>[2]Base!F410</f>
        <v>IPO</v>
      </c>
      <c r="G410" s="19" t="str">
        <f>[2]Base!G410</f>
        <v>ICVM 476</v>
      </c>
      <c r="H410" s="20">
        <f>[2]Base!X410</f>
        <v>44223</v>
      </c>
      <c r="I410" s="187">
        <f>[2]Base!W410</f>
        <v>26</v>
      </c>
      <c r="J410" s="188">
        <f>[2]Base!J410</f>
        <v>44225</v>
      </c>
      <c r="K410" s="189">
        <f>'[1]SITE (Imprensa)_PT'!K410</f>
        <v>0</v>
      </c>
      <c r="L410" s="189">
        <f>[2]Base!DZ410</f>
        <v>60</v>
      </c>
      <c r="M410" s="190">
        <f>[2]Base!AO410</f>
        <v>889598528</v>
      </c>
      <c r="N410" s="190">
        <f>[2]Base!AP410</f>
        <v>415145952</v>
      </c>
      <c r="O410" s="190">
        <f>[2]Base!AQ410</f>
        <v>1304744480</v>
      </c>
      <c r="P410" s="189">
        <f>+[2]Base!ED410</f>
        <v>240364113.33407021</v>
      </c>
      <c r="Q410" s="191">
        <f>'[1]SITE (Imprensa)_PT'!P410</f>
        <v>0</v>
      </c>
      <c r="R410" s="157">
        <f>'[1]SITE (Imprensa)_PT'!Q410</f>
        <v>0.42894771242872015</v>
      </c>
      <c r="S410" s="157">
        <f>'[1]SITE (Imprensa)_PT'!R410</f>
        <v>0.5710522875712799</v>
      </c>
      <c r="T410" s="158">
        <f>'[1]SITE (Imprensa)_PT'!S410</f>
        <v>0</v>
      </c>
      <c r="U410" s="1"/>
    </row>
    <row r="411" spans="2:21" ht="13.2" x14ac:dyDescent="0.25">
      <c r="B411" s="40" t="str">
        <f>[2]Base!A411</f>
        <v>OMEGA GER</v>
      </c>
      <c r="C411" s="41" t="str">
        <f>[2]Base!C411</f>
        <v>NM</v>
      </c>
      <c r="D411" s="213" t="s">
        <v>126</v>
      </c>
      <c r="E411" s="213" t="str">
        <f>[2]Base!M411</f>
        <v>Itaú BBA</v>
      </c>
      <c r="F411" s="19" t="str">
        <f>[2]Base!F411</f>
        <v>FOLLOW-ON</v>
      </c>
      <c r="G411" s="19" t="str">
        <f>[2]Base!G411</f>
        <v>ICVM 476</v>
      </c>
      <c r="H411" s="20">
        <f>[2]Base!X411</f>
        <v>44224</v>
      </c>
      <c r="I411" s="187">
        <f>[2]Base!W411</f>
        <v>39</v>
      </c>
      <c r="J411" s="188">
        <f>[2]Base!J411</f>
        <v>44229</v>
      </c>
      <c r="K411" s="189">
        <f>'[1]SITE (Imprensa)_PT'!K411</f>
        <v>0</v>
      </c>
      <c r="L411" s="189">
        <f>[2]Base!DZ411</f>
        <v>191</v>
      </c>
      <c r="M411" s="190">
        <f>[2]Base!AO411</f>
        <v>0</v>
      </c>
      <c r="N411" s="190">
        <f>[2]Base!AP411</f>
        <v>954719922</v>
      </c>
      <c r="O411" s="190">
        <f>[2]Base!AQ411</f>
        <v>954719922</v>
      </c>
      <c r="P411" s="189">
        <f>+[2]Base!ED411</f>
        <v>175881493.31270033</v>
      </c>
      <c r="Q411" s="191">
        <f>'[1]SITE (Imprensa)_PT'!P411</f>
        <v>0</v>
      </c>
      <c r="R411" s="157">
        <f>'[1]SITE (Imprensa)_PT'!Q411</f>
        <v>0.67180038168303768</v>
      </c>
      <c r="S411" s="157">
        <f>'[1]SITE (Imprensa)_PT'!R411</f>
        <v>0.31371023804822207</v>
      </c>
      <c r="T411" s="158">
        <f>'[1]SITE (Imprensa)_PT'!S411</f>
        <v>1.4489380268740217E-2</v>
      </c>
      <c r="U411" s="1"/>
    </row>
    <row r="412" spans="2:21" ht="13.2" x14ac:dyDescent="0.25">
      <c r="B412" s="40" t="str">
        <f>[2]Base!A412</f>
        <v>BTGP BANCO</v>
      </c>
      <c r="C412" s="41" t="str">
        <f>[2]Base!C412</f>
        <v>N2</v>
      </c>
      <c r="D412" s="213" t="s">
        <v>67</v>
      </c>
      <c r="E412" s="213" t="str">
        <f>[2]Base!M412</f>
        <v>BTG Pactual</v>
      </c>
      <c r="F412" s="19" t="str">
        <f>[2]Base!F412</f>
        <v>FOLLOW-ON</v>
      </c>
      <c r="G412" s="19" t="str">
        <f>[2]Base!G412</f>
        <v>ICVM 476</v>
      </c>
      <c r="H412" s="20">
        <f>[2]Base!X412</f>
        <v>44217</v>
      </c>
      <c r="I412" s="187">
        <f>[2]Base!W412</f>
        <v>30.84</v>
      </c>
      <c r="J412" s="188">
        <f>[2]Base!J412</f>
        <v>44253</v>
      </c>
      <c r="K412" s="189">
        <f>'[1]SITE (Imprensa)_PT'!K412</f>
        <v>0</v>
      </c>
      <c r="L412" s="189">
        <f>[2]Base!DZ412</f>
        <v>1674</v>
      </c>
      <c r="M412" s="190">
        <f>[2]Base!AO412</f>
        <v>2570000020.5599999</v>
      </c>
      <c r="N412" s="190">
        <f>[2]Base!AP412</f>
        <v>0</v>
      </c>
      <c r="O412" s="190">
        <f>[2]Base!AQ412</f>
        <v>2570000020.5599999</v>
      </c>
      <c r="P412" s="189">
        <f>+[2]Base!ED412</f>
        <v>483391645.14163184</v>
      </c>
      <c r="Q412" s="191">
        <f>'[1]SITE (Imprensa)_PT'!P412</f>
        <v>0</v>
      </c>
      <c r="R412" s="157">
        <f>'[1]SITE (Imprensa)_PT'!Q412</f>
        <v>0.45258476037932194</v>
      </c>
      <c r="S412" s="157">
        <f>'[1]SITE (Imprensa)_PT'!R412</f>
        <v>0.16418192268654463</v>
      </c>
      <c r="T412" s="158">
        <f>'[1]SITE (Imprensa)_PT'!S412</f>
        <v>0.38323331693413348</v>
      </c>
      <c r="U412" s="1"/>
    </row>
    <row r="413" spans="2:21" ht="13.2" x14ac:dyDescent="0.25">
      <c r="B413" s="40" t="str">
        <f>[2]Base!A413</f>
        <v>PETRORIO</v>
      </c>
      <c r="C413" s="41" t="str">
        <f>[2]Base!C413</f>
        <v>NM</v>
      </c>
      <c r="D413" s="213" t="s">
        <v>139</v>
      </c>
      <c r="E413" s="213" t="str">
        <f>[2]Base!M413</f>
        <v>BTG Pactual</v>
      </c>
      <c r="F413" s="19" t="str">
        <f>[2]Base!F413</f>
        <v>FOLLOW-ON</v>
      </c>
      <c r="G413" s="19" t="str">
        <f>[2]Base!G413</f>
        <v>ICVM 476</v>
      </c>
      <c r="H413" s="20">
        <f>[2]Base!X413</f>
        <v>44224</v>
      </c>
      <c r="I413" s="187">
        <f>[2]Base!W413</f>
        <v>69</v>
      </c>
      <c r="J413" s="188">
        <f>[2]Base!J413</f>
        <v>44228</v>
      </c>
      <c r="K413" s="189">
        <f>'[1]SITE (Imprensa)_PT'!K413</f>
        <v>0</v>
      </c>
      <c r="L413" s="189">
        <f>[2]Base!DZ413</f>
        <v>1499</v>
      </c>
      <c r="M413" s="190">
        <f>[2]Base!AO413</f>
        <v>2049300000</v>
      </c>
      <c r="N413" s="190">
        <f>[2]Base!AP413</f>
        <v>0</v>
      </c>
      <c r="O413" s="190">
        <f>[2]Base!AQ413</f>
        <v>2049300000</v>
      </c>
      <c r="P413" s="189">
        <f>+[2]Base!ED413</f>
        <v>377528462.47374821</v>
      </c>
      <c r="Q413" s="191">
        <f>'[1]SITE (Imprensa)_PT'!P413</f>
        <v>0</v>
      </c>
      <c r="R413" s="157">
        <f>'[1]SITE (Imprensa)_PT'!Q413</f>
        <v>0.55884619528619528</v>
      </c>
      <c r="S413" s="157">
        <f>'[1]SITE (Imprensa)_PT'!R413</f>
        <v>0.1538776430976431</v>
      </c>
      <c r="T413" s="158">
        <f>'[1]SITE (Imprensa)_PT'!S413</f>
        <v>0.2872761616161616</v>
      </c>
      <c r="U413" s="1"/>
    </row>
    <row r="414" spans="2:21" ht="13.2" x14ac:dyDescent="0.25">
      <c r="B414" s="40" t="str">
        <f>[2]Base!A414</f>
        <v>BRASILAGRO</v>
      </c>
      <c r="C414" s="41" t="str">
        <f>[2]Base!C414</f>
        <v>NM</v>
      </c>
      <c r="D414" s="213" t="s">
        <v>101</v>
      </c>
      <c r="E414" s="213" t="str">
        <f>[2]Base!M414</f>
        <v>BTG Pactual</v>
      </c>
      <c r="F414" s="19" t="str">
        <f>[2]Base!F414</f>
        <v>FOLLOW-ON</v>
      </c>
      <c r="G414" s="19" t="str">
        <f>[2]Base!G414</f>
        <v>ICVM 476</v>
      </c>
      <c r="H414" s="20">
        <f>[2]Base!X414</f>
        <v>44230</v>
      </c>
      <c r="I414" s="187">
        <f>[2]Base!W414</f>
        <v>22</v>
      </c>
      <c r="J414" s="188">
        <f>[2]Base!J414</f>
        <v>44232</v>
      </c>
      <c r="K414" s="189">
        <f>'[1]SITE (Imprensa)_PT'!K414</f>
        <v>0</v>
      </c>
      <c r="L414" s="189">
        <f>[2]Base!DZ414</f>
        <v>550</v>
      </c>
      <c r="M414" s="190">
        <f>[2]Base!AO414</f>
        <v>440000000</v>
      </c>
      <c r="N414" s="190">
        <f>[2]Base!AP414</f>
        <v>60177810</v>
      </c>
      <c r="O414" s="190">
        <f>[2]Base!AQ414</f>
        <v>500177810</v>
      </c>
      <c r="P414" s="189">
        <f>+[2]Base!ED414</f>
        <v>93625930.778878018</v>
      </c>
      <c r="Q414" s="191">
        <f>'[1]SITE (Imprensa)_PT'!P414</f>
        <v>0</v>
      </c>
      <c r="R414" s="157">
        <f>'[1]SITE (Imprensa)_PT'!Q414</f>
        <v>0.37493969194674992</v>
      </c>
      <c r="S414" s="157">
        <f>'[1]SITE (Imprensa)_PT'!R414</f>
        <v>0.48234940690391681</v>
      </c>
      <c r="T414" s="158">
        <f>'[1]SITE (Imprensa)_PT'!S414</f>
        <v>0.14271090114933327</v>
      </c>
      <c r="U414" s="1"/>
    </row>
    <row r="415" spans="2:21" ht="13.2" x14ac:dyDescent="0.25">
      <c r="B415" s="40" t="str">
        <f>[2]Base!A415</f>
        <v>LOCAWEB</v>
      </c>
      <c r="C415" s="41" t="str">
        <f>[2]Base!C415</f>
        <v>NM</v>
      </c>
      <c r="D415" s="213" t="s">
        <v>141</v>
      </c>
      <c r="E415" s="213" t="str">
        <f>[2]Base!M415</f>
        <v>Itaú BBA</v>
      </c>
      <c r="F415" s="19" t="str">
        <f>[2]Base!F415</f>
        <v>FOLLOW-ON</v>
      </c>
      <c r="G415" s="19" t="str">
        <f>[2]Base!G415</f>
        <v>ICVM 476</v>
      </c>
      <c r="H415" s="20">
        <f>[2]Base!X415</f>
        <v>44236</v>
      </c>
      <c r="I415" s="187">
        <f>[2]Base!W415</f>
        <v>30</v>
      </c>
      <c r="J415" s="188">
        <f>[2]Base!J415</f>
        <v>44238</v>
      </c>
      <c r="K415" s="189">
        <f>'[1]SITE (Imprensa)_PT'!K415</f>
        <v>1530</v>
      </c>
      <c r="L415" s="189">
        <f>[2]Base!DZ415</f>
        <v>2638</v>
      </c>
      <c r="M415" s="190">
        <f>[2]Base!AO415</f>
        <v>2346000000</v>
      </c>
      <c r="N415" s="190">
        <f>[2]Base!AP415</f>
        <v>408000000</v>
      </c>
      <c r="O415" s="190">
        <f>[2]Base!AQ415</f>
        <v>2754000000</v>
      </c>
      <c r="P415" s="189">
        <f>+[2]Base!ED415</f>
        <v>507968127.49003989</v>
      </c>
      <c r="Q415" s="191">
        <f>'[1]SITE (Imprensa)_PT'!P415</f>
        <v>6.4046949891067538E-3</v>
      </c>
      <c r="R415" s="157">
        <f>'[1]SITE (Imprensa)_PT'!Q415</f>
        <v>0.37809911764705884</v>
      </c>
      <c r="S415" s="157">
        <f>'[1]SITE (Imprensa)_PT'!R415</f>
        <v>0.6119605664488017</v>
      </c>
      <c r="T415" s="158">
        <f>'[1]SITE (Imprensa)_PT'!S415</f>
        <v>3.5356209150326796E-3</v>
      </c>
      <c r="U415" s="1"/>
    </row>
    <row r="416" spans="2:21" ht="13.2" x14ac:dyDescent="0.25">
      <c r="B416" s="40" t="str">
        <f>[2]Base!A416</f>
        <v>ESPACOLASER</v>
      </c>
      <c r="C416" s="41" t="str">
        <f>[2]Base!C416</f>
        <v>NM</v>
      </c>
      <c r="D416" s="213" t="s">
        <v>140</v>
      </c>
      <c r="E416" s="213" t="str">
        <f>[2]Base!M416</f>
        <v>Itaú BBA</v>
      </c>
      <c r="F416" s="19" t="str">
        <f>[2]Base!F416</f>
        <v>IPO</v>
      </c>
      <c r="G416" s="19" t="str">
        <f>[2]Base!G416</f>
        <v>ICVM 400</v>
      </c>
      <c r="H416" s="20">
        <f>[2]Base!X416</f>
        <v>44224</v>
      </c>
      <c r="I416" s="187">
        <f>[2]Base!W416</f>
        <v>17.899999999999999</v>
      </c>
      <c r="J416" s="188">
        <f>[2]Base!J416</f>
        <v>44228</v>
      </c>
      <c r="K416" s="189">
        <f>'[1]SITE (Imprensa)_PT'!K416</f>
        <v>7135</v>
      </c>
      <c r="L416" s="189">
        <f>[2]Base!DZ416</f>
        <v>7837</v>
      </c>
      <c r="M416" s="190">
        <f>[2]Base!AO416</f>
        <v>1199999997.3999999</v>
      </c>
      <c r="N416" s="190">
        <f>[2]Base!AP416</f>
        <v>1441623254.7999997</v>
      </c>
      <c r="O416" s="190">
        <f>[2]Base!AQ416</f>
        <v>2641623252.1999998</v>
      </c>
      <c r="P416" s="189">
        <f>+[2]Base!ED416</f>
        <v>486648106.59150356</v>
      </c>
      <c r="Q416" s="191">
        <f>'[1]SITE (Imprensa)_PT'!P416</f>
        <v>9.7176107412823759E-2</v>
      </c>
      <c r="R416" s="157">
        <f>'[1]SITE (Imprensa)_PT'!Q416</f>
        <v>0.62087119324607831</v>
      </c>
      <c r="S416" s="157">
        <f>'[1]SITE (Imprensa)_PT'!R416</f>
        <v>0.27451244714630396</v>
      </c>
      <c r="T416" s="158">
        <f>'[1]SITE (Imprensa)_PT'!S416</f>
        <v>7.440252194794033E-3</v>
      </c>
      <c r="U416" s="1"/>
    </row>
    <row r="417" spans="2:21" ht="13.2" x14ac:dyDescent="0.25">
      <c r="B417" s="40" t="str">
        <f>[2]Base!A417</f>
        <v>INTELBRAS</v>
      </c>
      <c r="C417" s="41" t="str">
        <f>[2]Base!C417</f>
        <v>NM</v>
      </c>
      <c r="D417" s="213" t="s">
        <v>145</v>
      </c>
      <c r="E417" s="213" t="str">
        <f>[2]Base!M417</f>
        <v>BTG Pactual</v>
      </c>
      <c r="F417" s="19" t="str">
        <f>[2]Base!F417</f>
        <v>IPO</v>
      </c>
      <c r="G417" s="19" t="str">
        <f>[2]Base!G417</f>
        <v>ICVM 400</v>
      </c>
      <c r="H417" s="20">
        <f>[2]Base!X417</f>
        <v>44229</v>
      </c>
      <c r="I417" s="187">
        <f>[2]Base!W417</f>
        <v>15.75</v>
      </c>
      <c r="J417" s="188">
        <f>[2]Base!J417</f>
        <v>44231</v>
      </c>
      <c r="K417" s="189">
        <f>'[1]SITE (Imprensa)_PT'!K417</f>
        <v>16772</v>
      </c>
      <c r="L417" s="189">
        <f>[2]Base!DZ417</f>
        <v>17280</v>
      </c>
      <c r="M417" s="190">
        <f>[2]Base!AO417</f>
        <v>724500000</v>
      </c>
      <c r="N417" s="190">
        <f>[2]Base!AP417</f>
        <v>579600000</v>
      </c>
      <c r="O417" s="190">
        <f>[2]Base!AQ417</f>
        <v>1304100000</v>
      </c>
      <c r="P417" s="189">
        <f>+[2]Base!ED417</f>
        <v>242060324.82598606</v>
      </c>
      <c r="Q417" s="191">
        <f>'[1]SITE (Imprensa)_PT'!P417</f>
        <v>0.11571812801932367</v>
      </c>
      <c r="R417" s="157">
        <f>'[1]SITE (Imprensa)_PT'!Q417</f>
        <v>0.7701834541062802</v>
      </c>
      <c r="S417" s="157">
        <f>'[1]SITE (Imprensa)_PT'!R417</f>
        <v>0.12442478260869565</v>
      </c>
      <c r="T417" s="158">
        <f>'[1]SITE (Imprensa)_PT'!S417</f>
        <v>0</v>
      </c>
      <c r="U417" s="1"/>
    </row>
    <row r="418" spans="2:21" ht="13.2" x14ac:dyDescent="0.25">
      <c r="B418" s="40" t="str">
        <f>[2]Base!A418</f>
        <v>MOSAICO</v>
      </c>
      <c r="C418" s="41" t="str">
        <f>[2]Base!C418</f>
        <v>NM</v>
      </c>
      <c r="D418" s="213" t="s">
        <v>141</v>
      </c>
      <c r="E418" s="213" t="str">
        <f>[2]Base!M418</f>
        <v>BTG Pactual</v>
      </c>
      <c r="F418" s="19" t="str">
        <f>[2]Base!F418</f>
        <v>IPO</v>
      </c>
      <c r="G418" s="19" t="str">
        <f>[2]Base!G418</f>
        <v>ICVM 400</v>
      </c>
      <c r="H418" s="20">
        <f>[2]Base!X418</f>
        <v>44230</v>
      </c>
      <c r="I418" s="187">
        <f>[2]Base!W418</f>
        <v>19.8</v>
      </c>
      <c r="J418" s="188">
        <f>[2]Base!J418</f>
        <v>44232</v>
      </c>
      <c r="K418" s="189">
        <f>'[1]SITE (Imprensa)_PT'!K418</f>
        <v>31017</v>
      </c>
      <c r="L418" s="189">
        <f>[2]Base!DZ418</f>
        <v>32377</v>
      </c>
      <c r="M418" s="190">
        <f>[2]Base!AO418</f>
        <v>578571444</v>
      </c>
      <c r="N418" s="190">
        <f>[2]Base!AP418</f>
        <v>636428667.60000002</v>
      </c>
      <c r="O418" s="190">
        <f>[2]Base!AQ418</f>
        <v>1215000111.5999999</v>
      </c>
      <c r="P418" s="189">
        <f>+[2]Base!ED418</f>
        <v>225484394.55125824</v>
      </c>
      <c r="Q418" s="191">
        <f>'[1]SITE (Imprensa)_PT'!P418</f>
        <v>0.11398399397480351</v>
      </c>
      <c r="R418" s="157">
        <f>'[1]SITE (Imprensa)_PT'!Q418</f>
        <v>0.72383819721782483</v>
      </c>
      <c r="S418" s="157">
        <f>'[1]SITE (Imprensa)_PT'!R418</f>
        <v>0.15387323327386596</v>
      </c>
      <c r="T418" s="158">
        <f>'[1]SITE (Imprensa)_PT'!S418</f>
        <v>8.3045755335056544E-3</v>
      </c>
      <c r="U418" s="1"/>
    </row>
    <row r="419" spans="2:21" ht="13.2" x14ac:dyDescent="0.25">
      <c r="B419" s="40" t="str">
        <f>[2]Base!A419</f>
        <v>MOBLY</v>
      </c>
      <c r="C419" s="41" t="str">
        <f>[2]Base!C419</f>
        <v>NM</v>
      </c>
      <c r="D419" s="213" t="s">
        <v>141</v>
      </c>
      <c r="E419" s="213" t="str">
        <f>[2]Base!M419</f>
        <v>Morgan Stanley</v>
      </c>
      <c r="F419" s="19" t="str">
        <f>[2]Base!F419</f>
        <v>IPO</v>
      </c>
      <c r="G419" s="19" t="str">
        <f>[2]Base!G419</f>
        <v>ICVM 400</v>
      </c>
      <c r="H419" s="20">
        <f>[2]Base!X419</f>
        <v>44230</v>
      </c>
      <c r="I419" s="187">
        <f>[2]Base!W419</f>
        <v>21</v>
      </c>
      <c r="J419" s="188">
        <f>[2]Base!J419</f>
        <v>44232</v>
      </c>
      <c r="K419" s="189">
        <f>'[1]SITE (Imprensa)_PT'!K419</f>
        <v>3249</v>
      </c>
      <c r="L419" s="189">
        <f>[2]Base!DZ419</f>
        <v>3591</v>
      </c>
      <c r="M419" s="190">
        <f>[2]Base!AO419</f>
        <v>777777798</v>
      </c>
      <c r="N419" s="190">
        <f>[2]Base!AP419</f>
        <v>155555547</v>
      </c>
      <c r="O419" s="190">
        <f>[2]Base!AQ419</f>
        <v>933333345</v>
      </c>
      <c r="P419" s="189">
        <f>+[2]Base!ED419</f>
        <v>173211592.49498925</v>
      </c>
      <c r="Q419" s="191">
        <f>'[1]SITE (Imprensa)_PT'!P419</f>
        <v>9.5778246302771916E-2</v>
      </c>
      <c r="R419" s="157">
        <f>'[1]SITE (Imprensa)_PT'!Q419</f>
        <v>0.37631791779602602</v>
      </c>
      <c r="S419" s="157">
        <f>'[1]SITE (Imprensa)_PT'!R419</f>
        <v>0.44151364698107942</v>
      </c>
      <c r="T419" s="158">
        <f>'[1]SITE (Imprensa)_PT'!S419</f>
        <v>8.6390188920122638E-2</v>
      </c>
      <c r="U419" s="1"/>
    </row>
    <row r="420" spans="2:21" ht="13.2" x14ac:dyDescent="0.25">
      <c r="B420" s="40" t="str">
        <f>[2]Base!A420</f>
        <v>JALLESMACHADO</v>
      </c>
      <c r="C420" s="41" t="str">
        <f>[2]Base!C420</f>
        <v>NM</v>
      </c>
      <c r="D420" s="213" t="s">
        <v>91</v>
      </c>
      <c r="E420" s="213" t="str">
        <f>[2]Base!M420</f>
        <v>XP Investimentos</v>
      </c>
      <c r="F420" s="19" t="str">
        <f>[2]Base!F420</f>
        <v>IPO</v>
      </c>
      <c r="G420" s="19" t="str">
        <f>[2]Base!G420</f>
        <v>ICVM 400</v>
      </c>
      <c r="H420" s="20">
        <f>[2]Base!X420</f>
        <v>44231</v>
      </c>
      <c r="I420" s="187">
        <f>[2]Base!W420</f>
        <v>8.3000000000000007</v>
      </c>
      <c r="J420" s="188">
        <f>[2]Base!J420</f>
        <v>44235</v>
      </c>
      <c r="K420" s="189">
        <f>'[1]SITE (Imprensa)_PT'!K420</f>
        <v>3985</v>
      </c>
      <c r="L420" s="189">
        <f>[2]Base!DZ420</f>
        <v>4465</v>
      </c>
      <c r="M420" s="190">
        <f>[2]Base!AO420</f>
        <v>552760005.30000007</v>
      </c>
      <c r="N420" s="190">
        <f>[2]Base!AP420</f>
        <v>138189995.10000002</v>
      </c>
      <c r="O420" s="190">
        <f>[2]Base!AQ420</f>
        <v>690950000.4000001</v>
      </c>
      <c r="P420" s="189">
        <f>+[2]Base!ED420</f>
        <v>128740450.97820012</v>
      </c>
      <c r="Q420" s="191">
        <f>'[1]SITE (Imprensa)_PT'!P420</f>
        <v>9.4690080946900818E-2</v>
      </c>
      <c r="R420" s="157">
        <f>'[1]SITE (Imprensa)_PT'!Q420</f>
        <v>0.59891578348915786</v>
      </c>
      <c r="S420" s="157">
        <f>'[1]SITE (Imprensa)_PT'!R420</f>
        <v>0.29106532416065323</v>
      </c>
      <c r="T420" s="158">
        <f>'[1]SITE (Imprensa)_PT'!S420</f>
        <v>1.5328811403288112E-2</v>
      </c>
      <c r="U420" s="1"/>
    </row>
    <row r="421" spans="2:21" ht="13.2" x14ac:dyDescent="0.25">
      <c r="B421" s="40" t="str">
        <f>[2]Base!A421</f>
        <v>FOCUS ON</v>
      </c>
      <c r="C421" s="41" t="str">
        <f>[2]Base!C421</f>
        <v>NM</v>
      </c>
      <c r="D421" s="213" t="s">
        <v>126</v>
      </c>
      <c r="E421" s="213" t="str">
        <f>[2]Base!M421</f>
        <v>Morgan Stanley</v>
      </c>
      <c r="F421" s="19" t="str">
        <f>[2]Base!F421</f>
        <v>IPO</v>
      </c>
      <c r="G421" s="19" t="str">
        <f>[2]Base!G421</f>
        <v>ICVM 400</v>
      </c>
      <c r="H421" s="20">
        <f>[2]Base!X421</f>
        <v>44217</v>
      </c>
      <c r="I421" s="187">
        <f>[2]Base!W421</f>
        <v>18.02</v>
      </c>
      <c r="J421" s="188">
        <f>[2]Base!J421</f>
        <v>44235</v>
      </c>
      <c r="K421" s="189">
        <f>'[1]SITE (Imprensa)_PT'!K421</f>
        <v>1776</v>
      </c>
      <c r="L421" s="189">
        <f>[2]Base!DZ421</f>
        <v>2019</v>
      </c>
      <c r="M421" s="190">
        <f>[2]Base!AO421</f>
        <v>764999996.60000002</v>
      </c>
      <c r="N421" s="190">
        <f>[2]Base!AP421</f>
        <v>7649994.5599999996</v>
      </c>
      <c r="O421" s="190">
        <f>[2]Base!AQ421</f>
        <v>772649991.15999997</v>
      </c>
      <c r="P421" s="189">
        <f>+[2]Base!ED421</f>
        <v>143963106.23439538</v>
      </c>
      <c r="Q421" s="191">
        <f>'[1]SITE (Imprensa)_PT'!P421</f>
        <v>0.10764379418113598</v>
      </c>
      <c r="R421" s="157">
        <f>'[1]SITE (Imprensa)_PT'!Q421</f>
        <v>0.41945926921486615</v>
      </c>
      <c r="S421" s="157">
        <f>'[1]SITE (Imprensa)_PT'!R421</f>
        <v>0.46889423843689226</v>
      </c>
      <c r="T421" s="158">
        <f>'[1]SITE (Imprensa)_PT'!S421</f>
        <v>4.0026981671056321E-3</v>
      </c>
      <c r="U421" s="1"/>
    </row>
    <row r="422" spans="2:21" ht="13.2" x14ac:dyDescent="0.25">
      <c r="B422" s="40" t="str">
        <f>[2]Base!A422</f>
        <v>CRUZEIRO SUL</v>
      </c>
      <c r="C422" s="41" t="str">
        <f>[2]Base!C422</f>
        <v>NM</v>
      </c>
      <c r="D422" s="213" t="s">
        <v>93</v>
      </c>
      <c r="E422" s="213" t="str">
        <f>[2]Base!M422</f>
        <v>BTG Pactual</v>
      </c>
      <c r="F422" s="19" t="str">
        <f>[2]Base!F422</f>
        <v>IPO</v>
      </c>
      <c r="G422" s="19" t="str">
        <f>[2]Base!G422</f>
        <v>ICVM 400</v>
      </c>
      <c r="H422" s="20">
        <f>[2]Base!X422</f>
        <v>44236</v>
      </c>
      <c r="I422" s="187">
        <f>[2]Base!W422</f>
        <v>14</v>
      </c>
      <c r="J422" s="188">
        <f>[2]Base!J422</f>
        <v>44238</v>
      </c>
      <c r="K422" s="189">
        <f>'[1]SITE (Imprensa)_PT'!K422</f>
        <v>2517</v>
      </c>
      <c r="L422" s="189">
        <f>[2]Base!DZ422</f>
        <v>2763</v>
      </c>
      <c r="M422" s="190">
        <f>[2]Base!AO422</f>
        <v>1071000000</v>
      </c>
      <c r="N422" s="190">
        <f>[2]Base!AP422</f>
        <v>160650000</v>
      </c>
      <c r="O422" s="190">
        <f>[2]Base!AQ422</f>
        <v>1231650000</v>
      </c>
      <c r="P422" s="189">
        <f>+[2]Base!ED422</f>
        <v>229674038.71256483</v>
      </c>
      <c r="Q422" s="191">
        <f>'[1]SITE (Imprensa)_PT'!P422</f>
        <v>8.5581823070060736E-2</v>
      </c>
      <c r="R422" s="157">
        <f>'[1]SITE (Imprensa)_PT'!Q422</f>
        <v>0.51325041651900105</v>
      </c>
      <c r="S422" s="157">
        <f>'[1]SITE (Imprensa)_PT'!R422</f>
        <v>0.29283083218255956</v>
      </c>
      <c r="T422" s="158">
        <f>'[1]SITE (Imprensa)_PT'!S422</f>
        <v>4.2601339378459963E-3</v>
      </c>
      <c r="U422" s="1"/>
    </row>
    <row r="423" spans="2:21" ht="13.2" x14ac:dyDescent="0.25">
      <c r="B423" s="40" t="str">
        <f>[2]Base!A423</f>
        <v>OCEANPACT</v>
      </c>
      <c r="C423" s="41" t="str">
        <f>[2]Base!C423</f>
        <v>NM</v>
      </c>
      <c r="D423" s="213" t="s">
        <v>149</v>
      </c>
      <c r="E423" s="213" t="str">
        <f>[2]Base!M423</f>
        <v>Itaú BBA</v>
      </c>
      <c r="F423" s="19" t="str">
        <f>[2]Base!F423</f>
        <v>IPO</v>
      </c>
      <c r="G423" s="19" t="str">
        <f>[2]Base!G423</f>
        <v>ICVM 400</v>
      </c>
      <c r="H423" s="20">
        <f>[2]Base!X423</f>
        <v>44237</v>
      </c>
      <c r="I423" s="187">
        <f>[2]Base!W423</f>
        <v>11.15</v>
      </c>
      <c r="J423" s="188">
        <f>[2]Base!J423</f>
        <v>44239</v>
      </c>
      <c r="K423" s="189">
        <f>'[1]SITE (Imprensa)_PT'!K423</f>
        <v>2831</v>
      </c>
      <c r="L423" s="189">
        <f>[2]Base!DZ423</f>
        <v>3114</v>
      </c>
      <c r="M423" s="190">
        <f>[2]Base!AO423</f>
        <v>800000000.85000002</v>
      </c>
      <c r="N423" s="190">
        <f>[2]Base!AP423</f>
        <v>270000004.05000001</v>
      </c>
      <c r="O423" s="190">
        <f>[2]Base!AQ423</f>
        <v>1070000004.9000001</v>
      </c>
      <c r="P423" s="189">
        <f>+[2]Base!ED423</f>
        <v>198829323.59007713</v>
      </c>
      <c r="Q423" s="191">
        <f>'[1]SITE (Imprensa)_PT'!P423</f>
        <v>0.11195127376869271</v>
      </c>
      <c r="R423" s="157">
        <f>'[1]SITE (Imprensa)_PT'!Q423</f>
        <v>0.76251232897545029</v>
      </c>
      <c r="S423" s="157">
        <f>'[1]SITE (Imprensa)_PT'!R423</f>
        <v>0.12184188130112092</v>
      </c>
      <c r="T423" s="158">
        <f>'[1]SITE (Imprensa)_PT'!S423</f>
        <v>3.6945159547361181E-3</v>
      </c>
      <c r="U423" s="1"/>
    </row>
    <row r="424" spans="2:21" ht="13.2" x14ac:dyDescent="0.25">
      <c r="B424" s="40" t="str">
        <f>[2]Base!A424</f>
        <v>ORIZON</v>
      </c>
      <c r="C424" s="41" t="str">
        <f>[2]Base!C424</f>
        <v>NM</v>
      </c>
      <c r="D424" s="213" t="s">
        <v>62</v>
      </c>
      <c r="E424" s="213" t="str">
        <f>[2]Base!M424</f>
        <v>Credit Suisse</v>
      </c>
      <c r="F424" s="19" t="str">
        <f>[2]Base!F424</f>
        <v>IPO</v>
      </c>
      <c r="G424" s="19" t="str">
        <f>[2]Base!G424</f>
        <v>ICVM 400</v>
      </c>
      <c r="H424" s="20">
        <f>[2]Base!X424</f>
        <v>44238</v>
      </c>
      <c r="I424" s="187">
        <f>[2]Base!W424</f>
        <v>22</v>
      </c>
      <c r="J424" s="188">
        <f>[2]Base!J424</f>
        <v>44244</v>
      </c>
      <c r="K424" s="189">
        <f>'[1]SITE (Imprensa)_PT'!K424</f>
        <v>4867</v>
      </c>
      <c r="L424" s="189">
        <f>[2]Base!DZ424</f>
        <v>5233</v>
      </c>
      <c r="M424" s="190">
        <f>[2]Base!AO424</f>
        <v>381399040</v>
      </c>
      <c r="N424" s="190">
        <f>[2]Base!AP424</f>
        <v>105465778</v>
      </c>
      <c r="O424" s="190">
        <f>[2]Base!AQ424</f>
        <v>486864818</v>
      </c>
      <c r="P424" s="189">
        <f>+[2]Base!ED424</f>
        <v>89930329.528242633</v>
      </c>
      <c r="Q424" s="191">
        <f>'[1]SITE (Imprensa)_PT'!P424</f>
        <v>0.16893483180195071</v>
      </c>
      <c r="R424" s="157">
        <f>'[1]SITE (Imprensa)_PT'!Q424</f>
        <v>0.52484073412799037</v>
      </c>
      <c r="S424" s="157">
        <f>'[1]SITE (Imprensa)_PT'!R424</f>
        <v>0.28380371990175757</v>
      </c>
      <c r="T424" s="158">
        <f>'[1]SITE (Imprensa)_PT'!S424</f>
        <v>2.2420714168301346E-2</v>
      </c>
      <c r="U424" s="1"/>
    </row>
    <row r="425" spans="2:21" ht="13.2" x14ac:dyDescent="0.25">
      <c r="B425" s="40" t="str">
        <f>[2]Base!A425</f>
        <v>ELETROMIDIA</v>
      </c>
      <c r="C425" s="41" t="str">
        <f>[2]Base!C425</f>
        <v>NM</v>
      </c>
      <c r="D425" s="213" t="s">
        <v>150</v>
      </c>
      <c r="E425" s="213" t="str">
        <f>[2]Base!M425</f>
        <v>Morgan Stanley</v>
      </c>
      <c r="F425" s="19" t="str">
        <f>[2]Base!F425</f>
        <v>IPO</v>
      </c>
      <c r="G425" s="19" t="str">
        <f>[2]Base!G425</f>
        <v>ICVM 400</v>
      </c>
      <c r="H425" s="20">
        <f>[2]Base!X425</f>
        <v>44238</v>
      </c>
      <c r="I425" s="187">
        <f>[2]Base!W425</f>
        <v>17.809999999999999</v>
      </c>
      <c r="J425" s="188">
        <f>[2]Base!J425</f>
        <v>44244</v>
      </c>
      <c r="K425" s="189">
        <f>'[1]SITE (Imprensa)_PT'!K425</f>
        <v>2769</v>
      </c>
      <c r="L425" s="189">
        <f>[2]Base!DZ425</f>
        <v>3019</v>
      </c>
      <c r="M425" s="190">
        <f>[2]Base!AO425</f>
        <v>700000001.21999991</v>
      </c>
      <c r="N425" s="190">
        <f>[2]Base!AP425</f>
        <v>57944300.699999996</v>
      </c>
      <c r="O425" s="190">
        <f>[2]Base!AQ425</f>
        <v>757944301.91999996</v>
      </c>
      <c r="P425" s="189">
        <f>+[2]Base!ED425</f>
        <v>140002272.32627729</v>
      </c>
      <c r="Q425" s="191">
        <f>'[1]SITE (Imprensa)_PT'!P425</f>
        <v>9.0998319276082373E-2</v>
      </c>
      <c r="R425" s="157">
        <f>'[1]SITE (Imprensa)_PT'!Q425</f>
        <v>0.49990118677220252</v>
      </c>
      <c r="S425" s="157">
        <f>'[1]SITE (Imprensa)_PT'!R425</f>
        <v>0.40461818209161043</v>
      </c>
      <c r="T425" s="158">
        <f>'[1]SITE (Imprensa)_PT'!S425</f>
        <v>4.4823118601046621E-3</v>
      </c>
      <c r="U425" s="1"/>
    </row>
    <row r="426" spans="2:21" ht="13.2" x14ac:dyDescent="0.25">
      <c r="B426" s="40" t="str">
        <f>[2]Base!A426</f>
        <v>BEMOBI TECH</v>
      </c>
      <c r="C426" s="41" t="str">
        <f>[2]Base!C426</f>
        <v>NM</v>
      </c>
      <c r="D426" s="213" t="s">
        <v>141</v>
      </c>
      <c r="E426" s="213" t="str">
        <f>[2]Base!M426</f>
        <v>BTG Pactual</v>
      </c>
      <c r="F426" s="19" t="str">
        <f>[2]Base!F426</f>
        <v>IPO</v>
      </c>
      <c r="G426" s="19" t="str">
        <f>[2]Base!G426</f>
        <v>ICVM 400</v>
      </c>
      <c r="H426" s="20">
        <f>[2]Base!X426</f>
        <v>44235</v>
      </c>
      <c r="I426" s="187">
        <f>[2]Base!W426</f>
        <v>22</v>
      </c>
      <c r="J426" s="188">
        <f>[2]Base!J426</f>
        <v>44237</v>
      </c>
      <c r="K426" s="189">
        <f>'[1]SITE (Imprensa)_PT'!K426</f>
        <v>12697</v>
      </c>
      <c r="L426" s="189">
        <f>[2]Base!DZ426</f>
        <v>13620</v>
      </c>
      <c r="M426" s="190">
        <f>[2]Base!AO426</f>
        <v>1094117684</v>
      </c>
      <c r="N426" s="190">
        <f>[2]Base!AP426</f>
        <v>164117646</v>
      </c>
      <c r="O426" s="190">
        <f>[2]Base!AQ426</f>
        <v>1258235330</v>
      </c>
      <c r="P426" s="189">
        <f>+[2]Base!ED426</f>
        <v>232903030.13475493</v>
      </c>
      <c r="Q426" s="191">
        <f>'[1]SITE (Imprensa)_PT'!P426</f>
        <v>0.11008118807155097</v>
      </c>
      <c r="R426" s="157">
        <f>'[1]SITE (Imprensa)_PT'!Q426</f>
        <v>0.76181171609606602</v>
      </c>
      <c r="S426" s="157">
        <f>'[1]SITE (Imprensa)_PT'!R426</f>
        <v>0.12747788762218273</v>
      </c>
      <c r="T426" s="158">
        <f>'[1]SITE (Imprensa)_PT'!S426</f>
        <v>6.2920821020023333E-4</v>
      </c>
      <c r="U426" s="1"/>
    </row>
    <row r="427" spans="2:21" ht="13.2" x14ac:dyDescent="0.25">
      <c r="B427" s="40" t="str">
        <f>[2]Base!A427</f>
        <v>CSNMINERACAO</v>
      </c>
      <c r="C427" s="41" t="str">
        <f>[2]Base!C427</f>
        <v>N2</v>
      </c>
      <c r="D427" s="213" t="s">
        <v>147</v>
      </c>
      <c r="E427" s="213" t="str">
        <f>[2]Base!M427</f>
        <v>Morgan Stanley</v>
      </c>
      <c r="F427" s="19" t="str">
        <f>[2]Base!F427</f>
        <v>IPO</v>
      </c>
      <c r="G427" s="19" t="str">
        <f>[2]Base!G427</f>
        <v>ICVM 400</v>
      </c>
      <c r="H427" s="20">
        <f>[2]Base!X427</f>
        <v>44239</v>
      </c>
      <c r="I427" s="187">
        <f>[2]Base!W427</f>
        <v>8.5</v>
      </c>
      <c r="J427" s="188">
        <f>[2]Base!J427</f>
        <v>44245</v>
      </c>
      <c r="K427" s="189">
        <f>'[1]SITE (Imprensa)_PT'!K427</f>
        <v>66255</v>
      </c>
      <c r="L427" s="189">
        <f>[2]Base!DZ427</f>
        <v>67524</v>
      </c>
      <c r="M427" s="190">
        <f>[2]Base!AO427</f>
        <v>1796903408.5</v>
      </c>
      <c r="N427" s="190">
        <f>[2]Base!AP427</f>
        <v>3168372815.5</v>
      </c>
      <c r="O427" s="190">
        <f>[2]Base!AQ427</f>
        <v>4965276224</v>
      </c>
      <c r="P427" s="189">
        <f>+[2]Base!ED427</f>
        <v>915460788.37715256</v>
      </c>
      <c r="Q427" s="191">
        <f>'[1]SITE (Imprensa)_PT'!P427</f>
        <v>0.19860505953031804</v>
      </c>
      <c r="R427" s="157">
        <f>'[1]SITE (Imprensa)_PT'!Q427</f>
        <v>0.28802972580913372</v>
      </c>
      <c r="S427" s="157">
        <f>'[1]SITE (Imprensa)_PT'!R427</f>
        <v>0.50339133138008563</v>
      </c>
      <c r="T427" s="158">
        <f>'[1]SITE (Imprensa)_PT'!S427</f>
        <v>9.9738832804625952E-3</v>
      </c>
      <c r="U427" s="1"/>
    </row>
    <row r="428" spans="2:21" ht="13.2" x14ac:dyDescent="0.25">
      <c r="B428" s="40" t="str">
        <f>[2]Base!A428</f>
        <v>WESTWING</v>
      </c>
      <c r="C428" s="41" t="str">
        <f>[2]Base!C428</f>
        <v>NM</v>
      </c>
      <c r="D428" s="213" t="s">
        <v>141</v>
      </c>
      <c r="E428" s="213" t="str">
        <f>[2]Base!M428</f>
        <v>BTG Pactual</v>
      </c>
      <c r="F428" s="19" t="str">
        <f>[2]Base!F428</f>
        <v>IPO</v>
      </c>
      <c r="G428" s="19" t="str">
        <f>[2]Base!G428</f>
        <v>ICVM 400</v>
      </c>
      <c r="H428" s="20">
        <f>[2]Base!X428</f>
        <v>44235</v>
      </c>
      <c r="I428" s="187">
        <f>[2]Base!W428</f>
        <v>13</v>
      </c>
      <c r="J428" s="188">
        <f>[2]Base!J428</f>
        <v>44238</v>
      </c>
      <c r="K428" s="189">
        <f>'[1]SITE (Imprensa)_PT'!K428</f>
        <v>8368</v>
      </c>
      <c r="L428" s="189">
        <f>[2]Base!DZ428</f>
        <v>9130</v>
      </c>
      <c r="M428" s="190">
        <f>[2]Base!AO428</f>
        <v>430294306</v>
      </c>
      <c r="N428" s="190">
        <f>[2]Base!AP428</f>
        <v>602412018</v>
      </c>
      <c r="O428" s="190">
        <f>[2]Base!AQ428</f>
        <v>1032706324</v>
      </c>
      <c r="P428" s="189">
        <f>+[2]Base!ED428</f>
        <v>191156953.20598254</v>
      </c>
      <c r="Q428" s="191">
        <f>'[1]SITE (Imprensa)_PT'!P428</f>
        <v>0.12000294375613077</v>
      </c>
      <c r="R428" s="157">
        <f>'[1]SITE (Imprensa)_PT'!Q428</f>
        <v>0.76901535766122264</v>
      </c>
      <c r="S428" s="157">
        <f>'[1]SITE (Imprensa)_PT'!R428</f>
        <v>0.11066362342766184</v>
      </c>
      <c r="T428" s="158">
        <f>'[1]SITE (Imprensa)_PT'!S428</f>
        <v>3.1807515498470966E-4</v>
      </c>
      <c r="U428" s="1"/>
    </row>
    <row r="429" spans="2:21" ht="13.2" x14ac:dyDescent="0.25">
      <c r="B429" s="40" t="str">
        <f>[2]Base!A429</f>
        <v>3R PETROLEUM</v>
      </c>
      <c r="C429" s="41" t="str">
        <f>[2]Base!C429</f>
        <v>NM</v>
      </c>
      <c r="D429" s="213" t="s">
        <v>139</v>
      </c>
      <c r="E429" s="213" t="str">
        <f>[2]Base!M429</f>
        <v>BTG Pactual</v>
      </c>
      <c r="F429" s="19" t="str">
        <f>[2]Base!F429</f>
        <v>FOLLOW-ON</v>
      </c>
      <c r="G429" s="19" t="str">
        <f>[2]Base!G429</f>
        <v>ICVM 476</v>
      </c>
      <c r="H429" s="20">
        <f>[2]Base!X429</f>
        <v>44285</v>
      </c>
      <c r="I429" s="187">
        <f>[2]Base!W429</f>
        <v>36</v>
      </c>
      <c r="J429" s="188">
        <f>[2]Base!J429</f>
        <v>44287</v>
      </c>
      <c r="K429" s="189">
        <f>'[1]SITE (Imprensa)_PT'!K429</f>
        <v>0</v>
      </c>
      <c r="L429" s="189">
        <f>[2]Base!DZ429</f>
        <v>1184</v>
      </c>
      <c r="M429" s="190">
        <f>[2]Base!AO429</f>
        <v>822798000</v>
      </c>
      <c r="N429" s="190">
        <f>[2]Base!AP429</f>
        <v>0</v>
      </c>
      <c r="O429" s="190">
        <f>[2]Base!AQ429</f>
        <v>822798000</v>
      </c>
      <c r="P429" s="189">
        <f>+[2]Base!ED429</f>
        <v>144418935.28513506</v>
      </c>
      <c r="Q429" s="191">
        <f>'[1]SITE (Imprensa)_PT'!P429</f>
        <v>9.6256918466014745E-5</v>
      </c>
      <c r="R429" s="157">
        <f>'[1]SITE (Imprensa)_PT'!Q429</f>
        <v>0.6228496860711864</v>
      </c>
      <c r="S429" s="157">
        <f>'[1]SITE (Imprensa)_PT'!R429</f>
        <v>0.23298549583251296</v>
      </c>
      <c r="T429" s="158">
        <f>'[1]SITE (Imprensa)_PT'!S429</f>
        <v>0.14406856117783465</v>
      </c>
      <c r="U429" s="1"/>
    </row>
    <row r="430" spans="2:21" ht="13.2" x14ac:dyDescent="0.25">
      <c r="B430" s="40" t="str">
        <f>[2]Base!A430</f>
        <v>DASA</v>
      </c>
      <c r="C430" s="41" t="str">
        <f>[2]Base!C430</f>
        <v>BÁSICO</v>
      </c>
      <c r="D430" s="19" t="s">
        <v>63</v>
      </c>
      <c r="E430" s="213" t="str">
        <f>[2]Base!M430</f>
        <v>Bradesco BBI</v>
      </c>
      <c r="F430" s="19" t="str">
        <f>[2]Base!F430</f>
        <v>FOLLOW-ON</v>
      </c>
      <c r="G430" s="19" t="str">
        <f>[2]Base!G430</f>
        <v>ICVM 476</v>
      </c>
      <c r="H430" s="20">
        <f>[2]Base!X430</f>
        <v>44293</v>
      </c>
      <c r="I430" s="187">
        <f>[2]Base!W430</f>
        <v>58</v>
      </c>
      <c r="J430" s="188">
        <f>[2]Base!J430</f>
        <v>44294</v>
      </c>
      <c r="K430" s="189">
        <f>'[1]SITE (Imprensa)_PT'!K430</f>
        <v>35</v>
      </c>
      <c r="L430" s="189">
        <f>[2]Base!DZ430</f>
        <v>287</v>
      </c>
      <c r="M430" s="190">
        <f>[2]Base!AO430</f>
        <v>3666272974</v>
      </c>
      <c r="N430" s="190">
        <f>[2]Base!AP430</f>
        <v>120734888</v>
      </c>
      <c r="O430" s="190">
        <f>[2]Base!AQ430</f>
        <v>3787007862</v>
      </c>
      <c r="P430" s="189">
        <f>+[2]Base!ED430</f>
        <v>677897726.97980809</v>
      </c>
      <c r="Q430" s="191">
        <f>'[1]SITE (Imprensa)_PT'!P430</f>
        <v>1.75500559866543E-4</v>
      </c>
      <c r="R430" s="157">
        <f>'[1]SITE (Imprensa)_PT'!Q430</f>
        <v>0.21457786770235124</v>
      </c>
      <c r="S430" s="157">
        <f>'[1]SITE (Imprensa)_PT'!R430</f>
        <v>0.52594658384155213</v>
      </c>
      <c r="T430" s="158">
        <f>'[1]SITE (Imprensa)_PT'!S430</f>
        <v>0.26342822416881478</v>
      </c>
      <c r="U430" s="1"/>
    </row>
    <row r="431" spans="2:21" ht="13.2" x14ac:dyDescent="0.25">
      <c r="B431" s="40" t="str">
        <f>[2]Base!A431</f>
        <v>ALLIED</v>
      </c>
      <c r="C431" s="41" t="str">
        <f>[2]Base!C431</f>
        <v>NM</v>
      </c>
      <c r="D431" s="213" t="s">
        <v>120</v>
      </c>
      <c r="E431" s="213" t="str">
        <f>[2]Base!M431</f>
        <v>BTG Pactual</v>
      </c>
      <c r="F431" s="19" t="str">
        <f>[2]Base!F431</f>
        <v>IPO</v>
      </c>
      <c r="G431" s="19" t="str">
        <f>[2]Base!G431</f>
        <v>ICVM 476</v>
      </c>
      <c r="H431" s="20">
        <f>[2]Base!X431</f>
        <v>44294</v>
      </c>
      <c r="I431" s="187">
        <f>[2]Base!W431</f>
        <v>18</v>
      </c>
      <c r="J431" s="188">
        <f>[2]Base!J431</f>
        <v>44298</v>
      </c>
      <c r="K431" s="189">
        <f>'[1]SITE (Imprensa)_PT'!K431</f>
        <v>2</v>
      </c>
      <c r="L431" s="189">
        <f>[2]Base!DZ431</f>
        <v>38</v>
      </c>
      <c r="M431" s="190">
        <f>[2]Base!AO431</f>
        <v>180000000</v>
      </c>
      <c r="N431" s="190">
        <f>[2]Base!AP431</f>
        <v>90000000</v>
      </c>
      <c r="O431" s="190">
        <f>[2]Base!AQ431</f>
        <v>270000000</v>
      </c>
      <c r="P431" s="189">
        <f>+[2]Base!ED431</f>
        <v>48372359.67536772</v>
      </c>
      <c r="Q431" s="191">
        <f>'[1]SITE (Imprensa)_PT'!P431</f>
        <v>1.11112E-2</v>
      </c>
      <c r="R431" s="157">
        <f>'[1]SITE (Imprensa)_PT'!Q431</f>
        <v>0.70435119999999996</v>
      </c>
      <c r="S431" s="157">
        <f>'[1]SITE (Imprensa)_PT'!R431</f>
        <v>0.14803333333333332</v>
      </c>
      <c r="T431" s="158">
        <f>'[1]SITE (Imprensa)_PT'!S431</f>
        <v>0</v>
      </c>
      <c r="U431" s="1"/>
    </row>
    <row r="432" spans="2:21" ht="13.2" x14ac:dyDescent="0.25">
      <c r="B432" s="40" t="str">
        <f>[2]Base!A432</f>
        <v>MATER DEI</v>
      </c>
      <c r="C432" s="41" t="str">
        <f>[2]Base!C432</f>
        <v>NM</v>
      </c>
      <c r="D432" s="213" t="s">
        <v>63</v>
      </c>
      <c r="E432" s="213" t="str">
        <f>[2]Base!M432</f>
        <v>BTG Pactual</v>
      </c>
      <c r="F432" s="19" t="str">
        <f>[2]Base!F432</f>
        <v>IPO</v>
      </c>
      <c r="G432" s="19" t="str">
        <f>[2]Base!G432</f>
        <v>ICVM 400</v>
      </c>
      <c r="H432" s="20">
        <f>[2]Base!X432</f>
        <v>44300</v>
      </c>
      <c r="I432" s="187">
        <f>[2]Base!W432</f>
        <v>17.440000000000001</v>
      </c>
      <c r="J432" s="188">
        <f>[2]Base!J432</f>
        <v>44302</v>
      </c>
      <c r="K432" s="189">
        <f>'[1]SITE (Imprensa)_PT'!K432</f>
        <v>2765</v>
      </c>
      <c r="L432" s="189">
        <f>[2]Base!DZ432</f>
        <v>3069</v>
      </c>
      <c r="M432" s="190">
        <f>[2]Base!AO432</f>
        <v>1194727566.24</v>
      </c>
      <c r="N432" s="190">
        <f>[2]Base!AP432</f>
        <v>218399986.40000001</v>
      </c>
      <c r="O432" s="190">
        <f>[2]Base!AQ432</f>
        <v>1413127552.6400001</v>
      </c>
      <c r="P432" s="189">
        <f>+[2]Base!ED432</f>
        <v>248195790.47351414</v>
      </c>
      <c r="Q432" s="191">
        <f>'[1]SITE (Imprensa)_PT'!P432</f>
        <v>9.0488449749932545E-2</v>
      </c>
      <c r="R432" s="157">
        <f>'[1]SITE (Imprensa)_PT'!Q432</f>
        <v>0.70953329421474343</v>
      </c>
      <c r="S432" s="157">
        <f>'[1]SITE (Imprensa)_PT'!R432</f>
        <v>0.19014414983468853</v>
      </c>
      <c r="T432" s="158">
        <f>'[1]SITE (Imprensa)_PT'!S432</f>
        <v>9.8341062006356075E-3</v>
      </c>
      <c r="U432" s="1"/>
    </row>
    <row r="433" spans="2:21" ht="13.2" x14ac:dyDescent="0.25">
      <c r="B433" s="40" t="str">
        <f>[2]Base!A433</f>
        <v>BLAU</v>
      </c>
      <c r="C433" s="41" t="str">
        <f>[2]Base!C433</f>
        <v>NM</v>
      </c>
      <c r="D433" s="213" t="s">
        <v>128</v>
      </c>
      <c r="E433" s="213" t="str">
        <f>[2]Base!M433</f>
        <v>Itaú BBA</v>
      </c>
      <c r="F433" s="19" t="str">
        <f>[2]Base!F433</f>
        <v>IPO</v>
      </c>
      <c r="G433" s="19" t="str">
        <f>[2]Base!G433</f>
        <v>ICVM 400</v>
      </c>
      <c r="H433" s="20">
        <f>[2]Base!X433</f>
        <v>44294</v>
      </c>
      <c r="I433" s="187">
        <f>[2]Base!W433</f>
        <v>40.14</v>
      </c>
      <c r="J433" s="188">
        <f>[2]Base!J433</f>
        <v>44305</v>
      </c>
      <c r="K433" s="189">
        <f>'[1]SITE (Imprensa)_PT'!K433</f>
        <v>1765</v>
      </c>
      <c r="L433" s="189">
        <f>[2]Base!DZ433</f>
        <v>2017</v>
      </c>
      <c r="M433" s="190">
        <f>[2]Base!AO433</f>
        <v>1260152711.46</v>
      </c>
      <c r="N433" s="190">
        <f>[2]Base!AP433</f>
        <v>0</v>
      </c>
      <c r="O433" s="190">
        <f>[2]Base!AQ433</f>
        <v>1260152711.46</v>
      </c>
      <c r="P433" s="189">
        <f>+[2]Base!ED433</f>
        <v>225765037.79493704</v>
      </c>
      <c r="Q433" s="191">
        <f>'[1]SITE (Imprensa)_PT'!P433</f>
        <v>5.3142901246001656E-2</v>
      </c>
      <c r="R433" s="157">
        <f>'[1]SITE (Imprensa)_PT'!Q433</f>
        <v>0.45854825671923494</v>
      </c>
      <c r="S433" s="157">
        <f>'[1]SITE (Imprensa)_PT'!R433</f>
        <v>0.48559204373812415</v>
      </c>
      <c r="T433" s="158">
        <f>'[1]SITE (Imprensa)_PT'!S433</f>
        <v>2.7167982966393609E-3</v>
      </c>
      <c r="U433" s="1"/>
    </row>
    <row r="434" spans="2:21" ht="13.2" x14ac:dyDescent="0.25">
      <c r="B434" s="40" t="str">
        <f>[2]Base!A434</f>
        <v>GPS</v>
      </c>
      <c r="C434" s="41" t="str">
        <f>[2]Base!C434</f>
        <v>NM</v>
      </c>
      <c r="D434" s="213" t="s">
        <v>81</v>
      </c>
      <c r="E434" s="213" t="str">
        <f>[2]Base!M434</f>
        <v>Itaú BBA</v>
      </c>
      <c r="F434" s="19" t="str">
        <f>[2]Base!F434</f>
        <v>IPO</v>
      </c>
      <c r="G434" s="19" t="str">
        <f>[2]Base!G434</f>
        <v>ICVM 400</v>
      </c>
      <c r="H434" s="20">
        <f>[2]Base!X434</f>
        <v>44308</v>
      </c>
      <c r="I434" s="187">
        <f>[2]Base!W434</f>
        <v>12</v>
      </c>
      <c r="J434" s="188">
        <f>[2]Base!J434</f>
        <v>44312</v>
      </c>
      <c r="K434" s="189">
        <f>'[1]SITE (Imprensa)_PT'!K434</f>
        <v>1669</v>
      </c>
      <c r="L434" s="189">
        <f>[2]Base!DZ434</f>
        <v>1994</v>
      </c>
      <c r="M434" s="190">
        <f>[2]Base!AO434</f>
        <v>1082251080</v>
      </c>
      <c r="N434" s="190">
        <f>[2]Base!AP434</f>
        <v>1406926404</v>
      </c>
      <c r="O434" s="190">
        <f>[2]Base!AQ434</f>
        <v>2489177484</v>
      </c>
      <c r="P434" s="189">
        <f>+[2]Base!ED434</f>
        <v>452824719.665272</v>
      </c>
      <c r="Q434" s="191">
        <f>'[1]SITE (Imprensa)_PT'!P434</f>
        <v>3.9643509807675892E-2</v>
      </c>
      <c r="R434" s="157">
        <f>'[1]SITE (Imprensa)_PT'!Q434</f>
        <v>0.70778085505131461</v>
      </c>
      <c r="S434" s="157">
        <f>'[1]SITE (Imprensa)_PT'!R434</f>
        <v>0.24847309923682404</v>
      </c>
      <c r="T434" s="158">
        <f>'[1]SITE (Imprensa)_PT'!S434</f>
        <v>4.1025359041854488E-3</v>
      </c>
      <c r="U434" s="1"/>
    </row>
    <row r="435" spans="2:21" ht="13.2" x14ac:dyDescent="0.25">
      <c r="B435" s="40" t="str">
        <f>[2]Base!A435</f>
        <v>BOA SAFRA</v>
      </c>
      <c r="C435" s="41" t="str">
        <f>[2]Base!C435</f>
        <v>NM</v>
      </c>
      <c r="D435" s="213" t="s">
        <v>101</v>
      </c>
      <c r="E435" s="213" t="str">
        <f>[2]Base!M435</f>
        <v>XP Investimentos</v>
      </c>
      <c r="F435" s="19" t="str">
        <f>[2]Base!F435</f>
        <v>IPO</v>
      </c>
      <c r="G435" s="19" t="str">
        <f>[2]Base!G435</f>
        <v>ICVM 400</v>
      </c>
      <c r="H435" s="20">
        <f>[2]Base!X435</f>
        <v>44313</v>
      </c>
      <c r="I435" s="187">
        <f>[2]Base!W435</f>
        <v>9.9</v>
      </c>
      <c r="J435" s="188">
        <f>[2]Base!J435</f>
        <v>44315</v>
      </c>
      <c r="K435" s="189">
        <f>'[1]SITE (Imprensa)_PT'!K435</f>
        <v>15557</v>
      </c>
      <c r="L435" s="189">
        <f>[2]Base!DZ435</f>
        <v>16158</v>
      </c>
      <c r="M435" s="190">
        <f>[2]Base!AO435</f>
        <v>459999995.39999998</v>
      </c>
      <c r="N435" s="190">
        <f>[2]Base!AP435</f>
        <v>0</v>
      </c>
      <c r="O435" s="190">
        <f>[2]Base!AQ435</f>
        <v>459999995.39999998</v>
      </c>
      <c r="P435" s="189">
        <f>+[2]Base!ED435</f>
        <v>84521533.771865353</v>
      </c>
      <c r="Q435" s="191">
        <f>'[1]SITE (Imprensa)_PT'!P435</f>
        <v>0.13878153725738057</v>
      </c>
      <c r="R435" s="157">
        <f>'[1]SITE (Imprensa)_PT'!Q435</f>
        <v>0.69979222482400927</v>
      </c>
      <c r="S435" s="157">
        <f>'[1]SITE (Imprensa)_PT'!R435</f>
        <v>0.14841638952764213</v>
      </c>
      <c r="T435" s="158">
        <f>'[1]SITE (Imprensa)_PT'!S435</f>
        <v>1.4447909492305183E-2</v>
      </c>
      <c r="U435" s="1"/>
    </row>
    <row r="436" spans="2:21" ht="13.2" x14ac:dyDescent="0.25">
      <c r="B436" s="40" t="str">
        <f>[2]Base!A436</f>
        <v>CAIXA SEGURI²</v>
      </c>
      <c r="C436" s="41" t="str">
        <f>[2]Base!C436</f>
        <v>NM</v>
      </c>
      <c r="D436" s="213" t="s">
        <v>64</v>
      </c>
      <c r="E436" s="213" t="str">
        <f>[2]Base!M436</f>
        <v>Morgan Stanley</v>
      </c>
      <c r="F436" s="19" t="str">
        <f>[2]Base!F436</f>
        <v>IPO</v>
      </c>
      <c r="G436" s="19" t="str">
        <f>[2]Base!G436</f>
        <v>ICVM 400</v>
      </c>
      <c r="H436" s="20">
        <f>[2]Base!X436</f>
        <v>44313</v>
      </c>
      <c r="I436" s="187">
        <f>[2]Base!W436</f>
        <v>9.67</v>
      </c>
      <c r="J436" s="188">
        <f>[2]Base!J436</f>
        <v>44315</v>
      </c>
      <c r="K436" s="189">
        <f>'[1]SITE (Imprensa)_PT'!K436</f>
        <v>0</v>
      </c>
      <c r="L436" s="189">
        <f>[2]Base!DZ436</f>
        <v>0</v>
      </c>
      <c r="M436" s="190">
        <f>[2]Base!AO436</f>
        <v>0</v>
      </c>
      <c r="N436" s="190">
        <f>[2]Base!AP436</f>
        <v>4351500000</v>
      </c>
      <c r="O436" s="190">
        <f>[2]Base!AQ436</f>
        <v>4351500000</v>
      </c>
      <c r="P436" s="189">
        <f>+[2]Base!ED436</f>
        <v>799555343.23092747</v>
      </c>
      <c r="Q436" s="191">
        <f>'[1]SITE (Imprensa)_PT'!P436</f>
        <v>0</v>
      </c>
      <c r="R436" s="157">
        <f>'[1]SITE (Imprensa)_PT'!Q436</f>
        <v>0</v>
      </c>
      <c r="S436" s="157">
        <f>'[1]SITE (Imprensa)_PT'!R436</f>
        <v>0</v>
      </c>
      <c r="T436" s="158">
        <f>'[1]SITE (Imprensa)_PT'!S436</f>
        <v>0</v>
      </c>
      <c r="U436" s="1"/>
    </row>
    <row r="437" spans="2:21" ht="13.2" x14ac:dyDescent="0.25">
      <c r="B437" s="40" t="str">
        <f>[2]Base!A437</f>
        <v>MODALMAIS</v>
      </c>
      <c r="C437" s="41" t="str">
        <f>[2]Base!C437</f>
        <v>N2</v>
      </c>
      <c r="D437" s="213" t="s">
        <v>67</v>
      </c>
      <c r="E437" s="213" t="str">
        <f>[2]Base!M437</f>
        <v>Credit Suisse</v>
      </c>
      <c r="F437" s="19" t="str">
        <f>[2]Base!F437</f>
        <v>IPO</v>
      </c>
      <c r="G437" s="19" t="str">
        <f>[2]Base!G437</f>
        <v>ICVM 400</v>
      </c>
      <c r="H437" s="20">
        <f>[2]Base!X437</f>
        <v>44314</v>
      </c>
      <c r="I437" s="187">
        <f>[2]Base!W437</f>
        <v>20.010000000000002</v>
      </c>
      <c r="J437" s="188">
        <f>[2]Base!J437</f>
        <v>44316</v>
      </c>
      <c r="K437" s="189">
        <f>'[1]SITE (Imprensa)_PT'!K437</f>
        <v>4310</v>
      </c>
      <c r="L437" s="189">
        <f>[2]Base!DZ437</f>
        <v>4770</v>
      </c>
      <c r="M437" s="190">
        <f>[2]Base!AO437</f>
        <v>2477788275</v>
      </c>
      <c r="N437" s="190">
        <f>[2]Base!AP437</f>
        <v>715357500</v>
      </c>
      <c r="O437" s="190">
        <f>[2]Base!AQ437</f>
        <v>3193145775</v>
      </c>
      <c r="P437" s="189">
        <f>+[2]Base!ED437</f>
        <v>591268544.57920563</v>
      </c>
      <c r="Q437" s="191">
        <f>'[1]SITE (Imprensa)_PT'!P437</f>
        <v>7.2683684162704057E-2</v>
      </c>
      <c r="R437" s="157">
        <f>'[1]SITE (Imprensa)_PT'!Q437</f>
        <v>0.15698319047763273</v>
      </c>
      <c r="S437" s="157">
        <f>'[1]SITE (Imprensa)_PT'!R437</f>
        <v>0.12132978162764636</v>
      </c>
      <c r="T437" s="158">
        <f>'[1]SITE (Imprensa)_PT'!S437</f>
        <v>4.5777447981342947E-3</v>
      </c>
      <c r="U437" s="1"/>
    </row>
    <row r="438" spans="2:21" ht="13.2" x14ac:dyDescent="0.25">
      <c r="B438" s="40" t="str">
        <f>[2]Base!A438</f>
        <v>SEQUOIA LOG</v>
      </c>
      <c r="C438" s="41" t="str">
        <f>[2]Base!C438</f>
        <v>NM</v>
      </c>
      <c r="D438" s="213" t="s">
        <v>81</v>
      </c>
      <c r="E438" s="213" t="str">
        <f>[2]Base!M438</f>
        <v>BTG Pactual</v>
      </c>
      <c r="F438" s="19" t="str">
        <f>[2]Base!F438</f>
        <v>FOLLOW-ON</v>
      </c>
      <c r="G438" s="19" t="str">
        <f>[2]Base!G438</f>
        <v>ICVM 476</v>
      </c>
      <c r="H438" s="20">
        <f>[2]Base!X438</f>
        <v>44301</v>
      </c>
      <c r="I438" s="187">
        <f>[2]Base!W438</f>
        <v>25</v>
      </c>
      <c r="J438" s="188">
        <f>[2]Base!J438</f>
        <v>44305</v>
      </c>
      <c r="K438" s="189">
        <f>'[1]SITE (Imprensa)_PT'!K438</f>
        <v>0</v>
      </c>
      <c r="L438" s="189">
        <f>[2]Base!DZ438</f>
        <v>290</v>
      </c>
      <c r="M438" s="190">
        <f>[2]Base!AO438</f>
        <v>207182325</v>
      </c>
      <c r="N438" s="190">
        <f>[2]Base!AP438</f>
        <v>918282900</v>
      </c>
      <c r="O438" s="190">
        <f>[2]Base!AQ438</f>
        <v>1125465225</v>
      </c>
      <c r="P438" s="189">
        <f>+[2]Base!ED438</f>
        <v>200139635.27403349</v>
      </c>
      <c r="Q438" s="191">
        <f>'[1]SITE (Imprensa)_PT'!P438</f>
        <v>0</v>
      </c>
      <c r="R438" s="157">
        <f>'[1]SITE (Imprensa)_PT'!Q438</f>
        <v>0.37950826068393184</v>
      </c>
      <c r="S438" s="157">
        <f>'[1]SITE (Imprensa)_PT'!R438</f>
        <v>0.35111595740330404</v>
      </c>
      <c r="T438" s="158">
        <f>'[1]SITE (Imprensa)_PT'!S438</f>
        <v>6.3493432238210648E-2</v>
      </c>
      <c r="U438" s="1"/>
    </row>
    <row r="439" spans="2:21" ht="13.2" x14ac:dyDescent="0.25">
      <c r="B439" s="40" t="str">
        <f>[2]Base!A439</f>
        <v>ALUPAR</v>
      </c>
      <c r="C439" s="41" t="str">
        <f>[2]Base!C439</f>
        <v>N2</v>
      </c>
      <c r="D439" s="213" t="s">
        <v>126</v>
      </c>
      <c r="E439" s="213" t="str">
        <f>[2]Base!M439</f>
        <v>Itaú BBA</v>
      </c>
      <c r="F439" s="19" t="str">
        <f>[2]Base!F439</f>
        <v>FOLLOW-ON</v>
      </c>
      <c r="G439" s="19" t="str">
        <f>[2]Base!G439</f>
        <v>ICVM 476</v>
      </c>
      <c r="H439" s="20">
        <f>[2]Base!X439</f>
        <v>44306</v>
      </c>
      <c r="I439" s="187">
        <f>[2]Base!W439</f>
        <v>25.5</v>
      </c>
      <c r="J439" s="188">
        <f>[2]Base!J439</f>
        <v>44309</v>
      </c>
      <c r="K439" s="189">
        <f>'[1]SITE (Imprensa)_PT'!K439</f>
        <v>0</v>
      </c>
      <c r="L439" s="189">
        <f>[2]Base!DZ439</f>
        <v>155</v>
      </c>
      <c r="M439" s="190">
        <f>[2]Base!AO439</f>
        <v>0</v>
      </c>
      <c r="N439" s="190">
        <f>[2]Base!AP439</f>
        <v>896650227</v>
      </c>
      <c r="O439" s="190">
        <f>[2]Base!AQ439</f>
        <v>896650227</v>
      </c>
      <c r="P439" s="189">
        <f>+[2]Base!ED439</f>
        <v>162242649.54945174</v>
      </c>
      <c r="Q439" s="191">
        <f>'[1]SITE (Imprensa)_PT'!P439</f>
        <v>0</v>
      </c>
      <c r="R439" s="157">
        <f>'[1]SITE (Imprensa)_PT'!Q439</f>
        <v>0.80158505218334153</v>
      </c>
      <c r="S439" s="157">
        <f>'[1]SITE (Imprensa)_PT'!R439</f>
        <v>0.1984149478166585</v>
      </c>
      <c r="T439" s="158">
        <f>'[1]SITE (Imprensa)_PT'!S439</f>
        <v>0</v>
      </c>
      <c r="U439" s="1"/>
    </row>
    <row r="440" spans="2:21" ht="13.2" x14ac:dyDescent="0.25">
      <c r="B440" s="40" t="str">
        <f>[2]Base!A440</f>
        <v>HAPVIDA</v>
      </c>
      <c r="C440" s="41" t="str">
        <f>[2]Base!C440</f>
        <v>NM</v>
      </c>
      <c r="D440" s="213" t="s">
        <v>131</v>
      </c>
      <c r="E440" s="213" t="str">
        <f>[2]Base!M440</f>
        <v>BTG  Pactual</v>
      </c>
      <c r="F440" s="19" t="str">
        <f>[2]Base!F440</f>
        <v>FOLLOW-ON</v>
      </c>
      <c r="G440" s="19" t="str">
        <f>[2]Base!G440</f>
        <v>ICVM 476</v>
      </c>
      <c r="H440" s="20">
        <f>[2]Base!X440</f>
        <v>44306</v>
      </c>
      <c r="I440" s="187">
        <f>[2]Base!W440</f>
        <v>15</v>
      </c>
      <c r="J440" s="188">
        <f>[2]Base!J440</f>
        <v>44309</v>
      </c>
      <c r="K440" s="189">
        <f>'[1]SITE (Imprensa)_PT'!K440</f>
        <v>0</v>
      </c>
      <c r="L440" s="189">
        <f>[2]Base!DZ440</f>
        <v>1058</v>
      </c>
      <c r="M440" s="190">
        <f>[2]Base!AO440</f>
        <v>2025000000</v>
      </c>
      <c r="N440" s="190">
        <f>[2]Base!AP440</f>
        <v>675000000</v>
      </c>
      <c r="O440" s="190">
        <f>[2]Base!AQ440</f>
        <v>2700000000</v>
      </c>
      <c r="P440" s="189">
        <f>+[2]Base!ED440</f>
        <v>488546303.33297145</v>
      </c>
      <c r="Q440" s="191">
        <f>'[1]SITE (Imprensa)_PT'!P440</f>
        <v>2.4444444444444445E-5</v>
      </c>
      <c r="R440" s="157">
        <f>'[1]SITE (Imprensa)_PT'!Q440</f>
        <v>0.60717268888888887</v>
      </c>
      <c r="S440" s="157">
        <f>'[1]SITE (Imprensa)_PT'!R440</f>
        <v>0.29644723888888891</v>
      </c>
      <c r="T440" s="158">
        <f>'[1]SITE (Imprensa)_PT'!S440</f>
        <v>9.6355627777777772E-2</v>
      </c>
      <c r="U440" s="1"/>
    </row>
    <row r="441" spans="2:21" ht="13.2" x14ac:dyDescent="0.25">
      <c r="B441" s="40" t="str">
        <f>[2]Base!A441</f>
        <v>LOJAS RENNER</v>
      </c>
      <c r="C441" s="41" t="str">
        <f>[2]Base!C441</f>
        <v>NM</v>
      </c>
      <c r="D441" s="213" t="s">
        <v>138</v>
      </c>
      <c r="E441" s="213" t="str">
        <f>[2]Base!M441</f>
        <v>Itaú BBA</v>
      </c>
      <c r="F441" s="19" t="str">
        <f>[2]Base!F441</f>
        <v>FOLLOW-ON</v>
      </c>
      <c r="G441" s="19" t="str">
        <f>[2]Base!G441</f>
        <v>ICVM 476</v>
      </c>
      <c r="H441" s="20">
        <f>[2]Base!X441</f>
        <v>44315</v>
      </c>
      <c r="I441" s="187">
        <f>[2]Base!W441</f>
        <v>39</v>
      </c>
      <c r="J441" s="188">
        <f>[2]Base!J441</f>
        <v>44319</v>
      </c>
      <c r="K441" s="189">
        <f>'[1]SITE (Imprensa)_PT'!K441</f>
        <v>2205</v>
      </c>
      <c r="L441" s="189">
        <f>[2]Base!DZ441</f>
        <v>3160</v>
      </c>
      <c r="M441" s="190">
        <f>[2]Base!AO441</f>
        <v>3978000000</v>
      </c>
      <c r="N441" s="190">
        <f>[2]Base!AP441</f>
        <v>0</v>
      </c>
      <c r="O441" s="190">
        <f>[2]Base!AQ441</f>
        <v>3978000000</v>
      </c>
      <c r="P441" s="189">
        <f>+[2]Base!ED441</f>
        <v>741306697.47679925</v>
      </c>
      <c r="Q441" s="191">
        <f>'[1]SITE (Imprensa)_PT'!P441</f>
        <v>2.4875882352941177E-3</v>
      </c>
      <c r="R441" s="157">
        <f>'[1]SITE (Imprensa)_PT'!Q441</f>
        <v>0.50064655882352938</v>
      </c>
      <c r="S441" s="157">
        <f>'[1]SITE (Imprensa)_PT'!R441</f>
        <v>0.49685275490196079</v>
      </c>
      <c r="T441" s="158">
        <f>'[1]SITE (Imprensa)_PT'!S441</f>
        <v>1.3098039215686275E-5</v>
      </c>
      <c r="U441" s="1"/>
    </row>
    <row r="442" spans="2:21" ht="13.2" x14ac:dyDescent="0.25">
      <c r="B442" s="40" t="str">
        <f>[2]Base!A442</f>
        <v>INFRACOMM</v>
      </c>
      <c r="C442" s="41" t="str">
        <f>[2]Base!C442</f>
        <v>NM</v>
      </c>
      <c r="D442" s="213" t="s">
        <v>141</v>
      </c>
      <c r="E442" s="213" t="str">
        <f>[2]Base!M442</f>
        <v>Itaú BBA</v>
      </c>
      <c r="F442" s="19" t="str">
        <f>[2]Base!F442</f>
        <v>IPO</v>
      </c>
      <c r="G442" s="19" t="str">
        <f>[2]Base!G442</f>
        <v>ICVM 476</v>
      </c>
      <c r="H442" s="20">
        <f>[2]Base!X442</f>
        <v>44316</v>
      </c>
      <c r="I442" s="187">
        <f>[2]Base!W442</f>
        <v>16</v>
      </c>
      <c r="J442" s="188">
        <f>[2]Base!J442</f>
        <v>44320</v>
      </c>
      <c r="K442" s="189">
        <f>'[1]SITE (Imprensa)_PT'!K442</f>
        <v>1</v>
      </c>
      <c r="L442" s="189">
        <f>[2]Base!DZ442</f>
        <v>137</v>
      </c>
      <c r="M442" s="190">
        <f>[2]Base!AO442</f>
        <v>902388000</v>
      </c>
      <c r="N442" s="190">
        <f>[2]Base!AP442</f>
        <v>0</v>
      </c>
      <c r="O442" s="190">
        <f>[2]Base!AQ442</f>
        <v>902388000</v>
      </c>
      <c r="P442" s="189">
        <f>+[2]Base!ED442</f>
        <v>166997557.1840995</v>
      </c>
      <c r="Q442" s="191">
        <f>'[1]SITE (Imprensa)_PT'!P442</f>
        <v>5.5408538234107726E-4</v>
      </c>
      <c r="R442" s="157">
        <f>'[1]SITE (Imprensa)_PT'!Q442</f>
        <v>0.7127378998834204</v>
      </c>
      <c r="S442" s="157">
        <f>'[1]SITE (Imprensa)_PT'!R442</f>
        <v>0.39543286479873402</v>
      </c>
      <c r="T442" s="158">
        <f>'[1]SITE (Imprensa)_PT'!S442</f>
        <v>0</v>
      </c>
      <c r="U442" s="1"/>
    </row>
    <row r="443" spans="2:21" ht="13.2" x14ac:dyDescent="0.25">
      <c r="B443" s="40" t="str">
        <f>[2]Base!A443</f>
        <v>PETRORECSA</v>
      </c>
      <c r="C443" s="41" t="str">
        <f>[2]Base!C443</f>
        <v>NM</v>
      </c>
      <c r="D443" s="213" t="s">
        <v>139</v>
      </c>
      <c r="E443" s="213" t="str">
        <f>[2]Base!M443</f>
        <v>Itaú BBA</v>
      </c>
      <c r="F443" s="19" t="str">
        <f>[2]Base!F443</f>
        <v>IPO</v>
      </c>
      <c r="G443" s="19" t="str">
        <f>[2]Base!G443</f>
        <v>ICVM 400</v>
      </c>
      <c r="H443" s="20">
        <f>[2]Base!X443</f>
        <v>44319</v>
      </c>
      <c r="I443" s="187">
        <f>[2]Base!W443</f>
        <v>14.75</v>
      </c>
      <c r="J443" s="188">
        <f>[2]Base!J443</f>
        <v>44321</v>
      </c>
      <c r="K443" s="189">
        <f>'[1]SITE (Imprensa)_PT'!K443</f>
        <v>2596</v>
      </c>
      <c r="L443" s="189">
        <f>[2]Base!DZ443</f>
        <v>2926</v>
      </c>
      <c r="M443" s="190">
        <f>[2]Base!AO443</f>
        <v>1187375000</v>
      </c>
      <c r="N443" s="190">
        <f>[2]Base!AP443</f>
        <v>0</v>
      </c>
      <c r="O443" s="190">
        <f>[2]Base!AQ443</f>
        <v>1187375000</v>
      </c>
      <c r="P443" s="189">
        <f>+[2]Base!ED443</f>
        <v>219530571.11690426</v>
      </c>
      <c r="Q443" s="191">
        <f>'[1]SITE (Imprensa)_PT'!P443</f>
        <v>0.10086165217391305</v>
      </c>
      <c r="R443" s="157">
        <f>'[1]SITE (Imprensa)_PT'!Q443</f>
        <v>0.78770052173913041</v>
      </c>
      <c r="S443" s="157">
        <f>'[1]SITE (Imprensa)_PT'!R443</f>
        <v>0.10678592546583851</v>
      </c>
      <c r="T443" s="158">
        <f>'[1]SITE (Imprensa)_PT'!S443</f>
        <v>4.6519006211180125E-3</v>
      </c>
      <c r="U443" s="1"/>
    </row>
    <row r="444" spans="2:21" ht="13.2" x14ac:dyDescent="0.25">
      <c r="B444" s="40" t="str">
        <f>[2]Base!A444</f>
        <v>GETNINJAS</v>
      </c>
      <c r="C444" s="41" t="str">
        <f>[2]Base!C444</f>
        <v>NM</v>
      </c>
      <c r="D444" s="213" t="s">
        <v>141</v>
      </c>
      <c r="E444" s="213" t="str">
        <f>[2]Base!M444</f>
        <v>BTG Pactual</v>
      </c>
      <c r="F444" s="19" t="str">
        <f>[2]Base!F444</f>
        <v>IPO</v>
      </c>
      <c r="G444" s="19" t="str">
        <f>[2]Base!G444</f>
        <v>ICVM 400</v>
      </c>
      <c r="H444" s="20">
        <f>[2]Base!X444</f>
        <v>44334</v>
      </c>
      <c r="I444" s="187">
        <f>[2]Base!W444</f>
        <v>20</v>
      </c>
      <c r="J444" s="188">
        <f>[2]Base!J444</f>
        <v>44333</v>
      </c>
      <c r="K444" s="189">
        <f>'[1]SITE (Imprensa)_PT'!K444</f>
        <v>1205</v>
      </c>
      <c r="L444" s="189">
        <f>[2]Base!DZ444</f>
        <v>1343</v>
      </c>
      <c r="M444" s="190">
        <f>[2]Base!AO444</f>
        <v>321285160</v>
      </c>
      <c r="N444" s="190">
        <f>[2]Base!AP444</f>
        <v>160754620</v>
      </c>
      <c r="O444" s="190">
        <f>[2]Base!AQ444</f>
        <v>482039780</v>
      </c>
      <c r="P444" s="189">
        <f>+[2]Base!ED444</f>
        <v>91663455.541188106</v>
      </c>
      <c r="Q444" s="191">
        <f>'[1]SITE (Imprensa)_PT'!P444</f>
        <v>7.3762630520079406E-2</v>
      </c>
      <c r="R444" s="157">
        <f>'[1]SITE (Imprensa)_PT'!Q444</f>
        <v>0.79009904540801557</v>
      </c>
      <c r="S444" s="157">
        <f>'[1]SITE (Imprensa)_PT'!R444</f>
        <v>0.13276912707942881</v>
      </c>
      <c r="T444" s="158">
        <f>'[1]SITE (Imprensa)_PT'!S444</f>
        <v>3.3691969924762115E-3</v>
      </c>
      <c r="U444" s="1"/>
    </row>
    <row r="445" spans="2:21" ht="13.2" x14ac:dyDescent="0.25">
      <c r="B445" s="40" t="str">
        <f>[2]Base!A445</f>
        <v>G2D INVEST</v>
      </c>
      <c r="C445" s="41" t="str">
        <f>[2]Base!C445</f>
        <v>BDR</v>
      </c>
      <c r="D445" s="213" t="s">
        <v>151</v>
      </c>
      <c r="E445" s="213" t="str">
        <f>[2]Base!M445</f>
        <v>BTG Pactual</v>
      </c>
      <c r="F445" s="19" t="str">
        <f>[2]Base!F445</f>
        <v>IPO</v>
      </c>
      <c r="G445" s="19" t="str">
        <f>[2]Base!G445</f>
        <v>ICVM 400</v>
      </c>
      <c r="H445" s="20">
        <f>[2]Base!X445</f>
        <v>44329</v>
      </c>
      <c r="I445" s="187">
        <f>[2]Base!W445</f>
        <v>7.16</v>
      </c>
      <c r="J445" s="188">
        <f>[2]Base!J445</f>
        <v>44333</v>
      </c>
      <c r="K445" s="189">
        <f>'[1]SITE (Imprensa)_PT'!K445</f>
        <v>5124</v>
      </c>
      <c r="L445" s="189">
        <f>[2]Base!DZ445</f>
        <v>5387</v>
      </c>
      <c r="M445" s="190">
        <f>[2]Base!AO445</f>
        <v>281062399</v>
      </c>
      <c r="N445" s="190">
        <f>[2]Base!AP445</f>
        <v>0</v>
      </c>
      <c r="O445" s="190">
        <f>[2]Base!AQ445</f>
        <v>281062399</v>
      </c>
      <c r="P445" s="189">
        <f>+[2]Base!ED445</f>
        <v>53216396.667613365</v>
      </c>
      <c r="Q445" s="191">
        <f>'[1]SITE (Imprensa)_PT'!P445</f>
        <v>0.60057128657559644</v>
      </c>
      <c r="R445" s="157">
        <f>'[1]SITE (Imprensa)_PT'!Q445</f>
        <v>1.8472871634348048E-2</v>
      </c>
      <c r="S445" s="157">
        <f>'[1]SITE (Imprensa)_PT'!R445</f>
        <v>0.12862930278578835</v>
      </c>
      <c r="T445" s="158">
        <f>'[1]SITE (Imprensa)_PT'!S445</f>
        <v>0.25232653900426721</v>
      </c>
      <c r="U445" s="1"/>
    </row>
    <row r="446" spans="2:21" ht="13.2" x14ac:dyDescent="0.25">
      <c r="B446" s="40" t="str">
        <f>[2]Base!A446</f>
        <v>REDE D OR</v>
      </c>
      <c r="C446" s="41" t="str">
        <f>[2]Base!C446</f>
        <v>NM</v>
      </c>
      <c r="D446" s="213" t="s">
        <v>131</v>
      </c>
      <c r="E446" s="213" t="str">
        <f>[2]Base!M446</f>
        <v>BofA Merrill Lynch</v>
      </c>
      <c r="F446" s="19" t="str">
        <f>[2]Base!F446</f>
        <v>FOLLOW-ON</v>
      </c>
      <c r="G446" s="19" t="str">
        <f>[2]Base!G446</f>
        <v>ICVM 476</v>
      </c>
      <c r="H446" s="20">
        <f>[2]Base!X446</f>
        <v>44342</v>
      </c>
      <c r="I446" s="187">
        <f>[2]Base!W446</f>
        <v>71</v>
      </c>
      <c r="J446" s="188">
        <f>[2]Base!J446</f>
        <v>44344</v>
      </c>
      <c r="K446" s="189">
        <f>'[1]SITE (Imprensa)_PT'!K446</f>
        <v>0</v>
      </c>
      <c r="L446" s="189">
        <f>[2]Base!DZ446</f>
        <v>2362</v>
      </c>
      <c r="M446" s="190">
        <f>[2]Base!AO446</f>
        <v>1777840000</v>
      </c>
      <c r="N446" s="190">
        <f>[2]Base!AP446</f>
        <v>3111220000</v>
      </c>
      <c r="O446" s="190">
        <f>[2]Base!AQ446</f>
        <v>4889060000</v>
      </c>
      <c r="P446" s="189">
        <f>+[2]Base!ED446</f>
        <v>935150437.06126499</v>
      </c>
      <c r="Q446" s="191">
        <f>'[1]SITE (Imprensa)_PT'!P446</f>
        <v>3.8498402555910545E-5</v>
      </c>
      <c r="R446" s="157">
        <f>'[1]SITE (Imprensa)_PT'!Q446</f>
        <v>0.49615312227708391</v>
      </c>
      <c r="S446" s="157">
        <f>'[1]SITE (Imprensa)_PT'!R446</f>
        <v>0.47844478652338079</v>
      </c>
      <c r="T446" s="158">
        <f>'[1]SITE (Imprensa)_PT'!S446</f>
        <v>2.5363592796979379E-2</v>
      </c>
      <c r="U446" s="1"/>
    </row>
    <row r="447" spans="2:21" ht="13.2" x14ac:dyDescent="0.25">
      <c r="B447" s="40" t="str">
        <f>[2]Base!A447</f>
        <v>DOTZ</v>
      </c>
      <c r="C447" s="41" t="str">
        <f>[2]Base!C447</f>
        <v>NM</v>
      </c>
      <c r="D447" s="213" t="s">
        <v>112</v>
      </c>
      <c r="E447" s="213" t="str">
        <f>[2]Base!M447</f>
        <v>BTG Pactual</v>
      </c>
      <c r="F447" s="19" t="str">
        <f>[2]Base!F447</f>
        <v>IPO</v>
      </c>
      <c r="G447" s="19" t="str">
        <f>[2]Base!G447</f>
        <v>ICVM 476</v>
      </c>
      <c r="H447" s="20">
        <f>[2]Base!X447</f>
        <v>44343</v>
      </c>
      <c r="I447" s="187">
        <f>[2]Base!W447</f>
        <v>13.2</v>
      </c>
      <c r="J447" s="188">
        <f>[2]Base!J447</f>
        <v>44347</v>
      </c>
      <c r="K447" s="189">
        <f>'[1]SITE (Imprensa)_PT'!K447</f>
        <v>0</v>
      </c>
      <c r="L447" s="189">
        <f>[2]Base!DZ447</f>
        <v>24</v>
      </c>
      <c r="M447" s="190">
        <f>[2]Base!AO447</f>
        <v>390720000</v>
      </c>
      <c r="N447" s="190">
        <f>[2]Base!AP447</f>
        <v>0</v>
      </c>
      <c r="O447" s="190">
        <f>[2]Base!AQ447</f>
        <v>390720000</v>
      </c>
      <c r="P447" s="189">
        <f>+[2]Base!ED447</f>
        <v>74676044.493712023</v>
      </c>
      <c r="Q447" s="191">
        <f>'[1]SITE (Imprensa)_PT'!P447</f>
        <v>0</v>
      </c>
      <c r="R447" s="157">
        <f>'[1]SITE (Imprensa)_PT'!Q447</f>
        <v>0.45494425675675676</v>
      </c>
      <c r="S447" s="157">
        <f>'[1]SITE (Imprensa)_PT'!R447</f>
        <v>0.51856418918918923</v>
      </c>
      <c r="T447" s="158">
        <f>'[1]SITE (Imprensa)_PT'!S447</f>
        <v>6.6163851351351347E-2</v>
      </c>
      <c r="U447" s="1"/>
    </row>
    <row r="448" spans="2:21" ht="13.2" x14ac:dyDescent="0.25">
      <c r="B448" s="40" t="str">
        <f>[2]Base!A448</f>
        <v>ECORODOVIAS</v>
      </c>
      <c r="C448" s="41" t="str">
        <f>[2]Base!C448</f>
        <v>NM</v>
      </c>
      <c r="D448" s="213" t="s">
        <v>54</v>
      </c>
      <c r="E448" s="213" t="str">
        <f>[2]Base!M448</f>
        <v>BTG Pactual</v>
      </c>
      <c r="F448" s="19" t="str">
        <f>[2]Base!F448</f>
        <v>FOLLOW-ON</v>
      </c>
      <c r="G448" s="19" t="str">
        <f>[2]Base!G448</f>
        <v>ICVM 476</v>
      </c>
      <c r="H448" s="20">
        <f>[2]Base!X448</f>
        <v>44369</v>
      </c>
      <c r="I448" s="187">
        <f>[2]Base!W448</f>
        <v>12.5</v>
      </c>
      <c r="J448" s="188">
        <f>[2]Base!J448</f>
        <v>44371</v>
      </c>
      <c r="K448" s="189">
        <f>'[1]SITE (Imprensa)_PT'!K448</f>
        <v>0</v>
      </c>
      <c r="L448" s="189">
        <f>[2]Base!DZ448</f>
        <v>7</v>
      </c>
      <c r="M448" s="190">
        <f>[2]Base!AO448</f>
        <v>1720439300</v>
      </c>
      <c r="N448" s="190">
        <f>[2]Base!AP448</f>
        <v>250000000</v>
      </c>
      <c r="O448" s="190">
        <f>[2]Base!AQ448</f>
        <v>1970439300</v>
      </c>
      <c r="P448" s="189">
        <f>+[2]Base!ED448</f>
        <v>392689884.012914</v>
      </c>
      <c r="Q448" s="191">
        <f>'[1]SITE (Imprensa)_PT'!P448</f>
        <v>0</v>
      </c>
      <c r="R448" s="157">
        <f>'[1]SITE (Imprensa)_PT'!Q448</f>
        <v>0.12687526076037967</v>
      </c>
      <c r="S448" s="157">
        <f>'[1]SITE (Imprensa)_PT'!R448</f>
        <v>0</v>
      </c>
      <c r="T448" s="158">
        <f>'[1]SITE (Imprensa)_PT'!S448</f>
        <v>0</v>
      </c>
      <c r="U448" s="1"/>
    </row>
    <row r="449" spans="2:21" ht="13.2" x14ac:dyDescent="0.25">
      <c r="B449" s="40" t="str">
        <f>[2]Base!A449</f>
        <v>BTGP BANCO</v>
      </c>
      <c r="C449" s="41" t="str">
        <f>[2]Base!C449</f>
        <v>N2</v>
      </c>
      <c r="D449" s="213" t="s">
        <v>67</v>
      </c>
      <c r="E449" s="213" t="str">
        <f>[2]Base!M449</f>
        <v>BTG Pactual, Bradesco BBI</v>
      </c>
      <c r="F449" s="19" t="str">
        <f>[2]Base!F449</f>
        <v>FOLLOW-ON</v>
      </c>
      <c r="G449" s="19" t="str">
        <f>[2]Base!G449</f>
        <v>ICVM 476</v>
      </c>
      <c r="H449" s="20">
        <f>[2]Base!X449</f>
        <v>44355</v>
      </c>
      <c r="I449" s="187">
        <f>[2]Base!W449</f>
        <v>40.67</v>
      </c>
      <c r="J449" s="188">
        <f>[2]Base!J449</f>
        <v>44357</v>
      </c>
      <c r="K449" s="189">
        <f>'[1]SITE (Imprensa)_PT'!K449</f>
        <v>0</v>
      </c>
      <c r="L449" s="189">
        <f>[2]Base!DZ449</f>
        <v>2059</v>
      </c>
      <c r="M449" s="190">
        <f>[2]Base!AO449</f>
        <v>2977288020</v>
      </c>
      <c r="N449" s="190">
        <f>[2]Base!AP449</f>
        <v>0</v>
      </c>
      <c r="O449" s="190">
        <f>[2]Base!AQ449</f>
        <v>2977288020</v>
      </c>
      <c r="P449" s="189">
        <f>+[2]Base!ED449</f>
        <v>589690431.57915592</v>
      </c>
      <c r="Q449" s="191">
        <f>'[1]SITE (Imprensa)_PT'!P449</f>
        <v>0</v>
      </c>
      <c r="R449" s="157">
        <f>'[1]SITE (Imprensa)_PT'!Q449</f>
        <v>0.5012667404311123</v>
      </c>
      <c r="S449" s="157">
        <f>'[1]SITE (Imprensa)_PT'!R449</f>
        <v>0.20916318334562742</v>
      </c>
      <c r="T449" s="158">
        <f>'[1]SITE (Imprensa)_PT'!S449</f>
        <v>0.36788332923530864</v>
      </c>
      <c r="U449" s="1"/>
    </row>
    <row r="450" spans="2:21" ht="13.2" x14ac:dyDescent="0.25">
      <c r="B450" s="40" t="str">
        <f>[2]Base!A450</f>
        <v>BANCO INTER</v>
      </c>
      <c r="C450" s="41" t="str">
        <f>[2]Base!C450</f>
        <v>N2</v>
      </c>
      <c r="D450" s="213" t="s">
        <v>67</v>
      </c>
      <c r="E450" s="213" t="str">
        <f>[2]Base!M450</f>
        <v>Bradesco BBI</v>
      </c>
      <c r="F450" s="19" t="str">
        <f>[2]Base!F450</f>
        <v>FOLLOW-ON</v>
      </c>
      <c r="G450" s="19" t="str">
        <f>[2]Base!G450</f>
        <v>ICVM 476</v>
      </c>
      <c r="H450" s="20">
        <f>[2]Base!X450</f>
        <v>44371</v>
      </c>
      <c r="I450" s="187">
        <f>[2]Base!W450</f>
        <v>19.28</v>
      </c>
      <c r="J450" s="188">
        <f>[2]Base!J450</f>
        <v>44375</v>
      </c>
      <c r="K450" s="189">
        <f>'[1]SITE (Imprensa)_PT'!K450</f>
        <v>18015</v>
      </c>
      <c r="L450" s="189">
        <f>[2]Base!DZ450</f>
        <v>20757</v>
      </c>
      <c r="M450" s="190">
        <f>[2]Base!AO450</f>
        <v>5499999970.2400007</v>
      </c>
      <c r="N450" s="190">
        <f>[2]Base!AP450</f>
        <v>0</v>
      </c>
      <c r="O450" s="190">
        <f>[2]Base!AQ450</f>
        <v>5499999970.2400007</v>
      </c>
      <c r="P450" s="189">
        <f>+[2]Base!ED450</f>
        <v>1112909747.1145287</v>
      </c>
      <c r="Q450" s="191">
        <f>'[1]SITE (Imprensa)_PT'!P450</f>
        <v>1.7718127295871175E-2</v>
      </c>
      <c r="R450" s="157">
        <f>'[1]SITE (Imprensa)_PT'!Q450</f>
        <v>0.24556764015056232</v>
      </c>
      <c r="S450" s="157">
        <f>'[1]SITE (Imprensa)_PT'!R450</f>
        <v>0.73662824725855569</v>
      </c>
      <c r="T450" s="158">
        <f>'[1]SITE (Imprensa)_PT'!S450</f>
        <v>8.5985295010713162E-5</v>
      </c>
      <c r="U450" s="1"/>
    </row>
    <row r="451" spans="2:21" ht="13.2" x14ac:dyDescent="0.25">
      <c r="B451" s="40" t="str">
        <f>[2]Base!A451</f>
        <v>BR PARTNERS</v>
      </c>
      <c r="C451" s="41" t="str">
        <f>[2]Base!C451</f>
        <v>N2</v>
      </c>
      <c r="D451" s="213" t="s">
        <v>67</v>
      </c>
      <c r="E451" s="213" t="str">
        <f>[2]Base!M451</f>
        <v>BTG Pactual</v>
      </c>
      <c r="F451" s="19" t="str">
        <f>[2]Base!F451</f>
        <v>IPO</v>
      </c>
      <c r="G451" s="19" t="str">
        <f>[2]Base!G451</f>
        <v>ICVM 476</v>
      </c>
      <c r="H451" s="20">
        <f>[2]Base!X451</f>
        <v>44364</v>
      </c>
      <c r="I451" s="187">
        <f>[2]Base!W451</f>
        <v>16</v>
      </c>
      <c r="J451" s="188">
        <f>[2]Base!J451</f>
        <v>44368</v>
      </c>
      <c r="K451" s="189">
        <f>'[1]SITE (Imprensa)_PT'!K451</f>
        <v>0</v>
      </c>
      <c r="L451" s="189">
        <f>[2]Base!DZ451</f>
        <v>84</v>
      </c>
      <c r="M451" s="190">
        <f>[2]Base!AO451</f>
        <v>1092000000</v>
      </c>
      <c r="N451" s="190">
        <f>[2]Base!AP451</f>
        <v>0</v>
      </c>
      <c r="O451" s="190">
        <f>[2]Base!AQ451</f>
        <v>1092000000</v>
      </c>
      <c r="P451" s="189">
        <f>+[2]Base!ED451</f>
        <v>216843066.78051591</v>
      </c>
      <c r="Q451" s="191">
        <f>'[1]SITE (Imprensa)_PT'!P451</f>
        <v>0</v>
      </c>
      <c r="R451" s="157">
        <f>'[1]SITE (Imprensa)_PT'!Q451</f>
        <v>0.34102564102564104</v>
      </c>
      <c r="S451" s="157">
        <f>'[1]SITE (Imprensa)_PT'!R451</f>
        <v>2.564102564102564E-2</v>
      </c>
      <c r="T451" s="158">
        <f>'[1]SITE (Imprensa)_PT'!S451</f>
        <v>0</v>
      </c>
      <c r="U451" s="1"/>
    </row>
    <row r="452" spans="2:21" ht="13.2" x14ac:dyDescent="0.25">
      <c r="B452" s="40" t="str">
        <f>[2]Base!A452</f>
        <v>GRUPO SOMA</v>
      </c>
      <c r="C452" s="41" t="str">
        <f>[2]Base!C452</f>
        <v>NM</v>
      </c>
      <c r="D452" s="213" t="s">
        <v>138</v>
      </c>
      <c r="E452" s="213" t="str">
        <f>[2]Base!M452</f>
        <v>Itaú BBA</v>
      </c>
      <c r="F452" s="19" t="str">
        <f>[2]Base!F452</f>
        <v>FOLLOW-ON</v>
      </c>
      <c r="G452" s="19" t="str">
        <f>[2]Base!G452</f>
        <v>ICVM 476</v>
      </c>
      <c r="H452" s="20">
        <f>[2]Base!X452</f>
        <v>44397</v>
      </c>
      <c r="I452" s="187">
        <f>[2]Base!W452</f>
        <v>19.2</v>
      </c>
      <c r="J452" s="188">
        <f>[2]Base!J452</f>
        <v>44399</v>
      </c>
      <c r="K452" s="189">
        <f>'[1]SITE (Imprensa)_PT'!K452</f>
        <v>289</v>
      </c>
      <c r="L452" s="189">
        <f>[2]Base!DZ452</f>
        <v>599</v>
      </c>
      <c r="M452" s="190">
        <f>[2]Base!AO452</f>
        <v>883435584</v>
      </c>
      <c r="N452" s="190">
        <f>[2]Base!AP452</f>
        <v>0</v>
      </c>
      <c r="O452" s="190">
        <f>[2]Base!AQ452</f>
        <v>883435584</v>
      </c>
      <c r="P452" s="189">
        <f>+[2]Base!ED452</f>
        <v>168385701.70589918</v>
      </c>
      <c r="Q452" s="191">
        <f>'[1]SITE (Imprensa)_PT'!P452</f>
        <v>2.4384582634153886E-3</v>
      </c>
      <c r="R452" s="157">
        <f>'[1]SITE (Imprensa)_PT'!Q452</f>
        <v>0.90177480919763353</v>
      </c>
      <c r="S452" s="157">
        <f>'[1]SITE (Imprensa)_PT'!R452</f>
        <v>9.576028307231961E-2</v>
      </c>
      <c r="T452" s="158">
        <f>'[1]SITE (Imprensa)_PT'!S452</f>
        <v>2.6449466631400709E-5</v>
      </c>
      <c r="U452" s="1"/>
    </row>
    <row r="453" spans="2:21" ht="13.2" x14ac:dyDescent="0.25">
      <c r="B453" s="40" t="str">
        <f>[2]Base!A453</f>
        <v>MAGAZ LUIZA</v>
      </c>
      <c r="C453" s="41" t="str">
        <f>[2]Base!C453</f>
        <v>NM</v>
      </c>
      <c r="D453" s="213" t="s">
        <v>120</v>
      </c>
      <c r="E453" s="213" t="str">
        <f>[2]Base!M453</f>
        <v>Itaú BBA</v>
      </c>
      <c r="F453" s="19" t="str">
        <f>[2]Base!F453</f>
        <v>FOLLOW-ON</v>
      </c>
      <c r="G453" s="19" t="str">
        <f>[2]Base!G453</f>
        <v>ICVM 476</v>
      </c>
      <c r="H453" s="20">
        <f>[2]Base!X453</f>
        <v>44399</v>
      </c>
      <c r="I453" s="187">
        <f>[2]Base!W453</f>
        <v>22.75</v>
      </c>
      <c r="J453" s="188">
        <f>[2]Base!J453</f>
        <v>44403</v>
      </c>
      <c r="K453" s="189">
        <f>'[1]SITE (Imprensa)_PT'!K453</f>
        <v>2827</v>
      </c>
      <c r="L453" s="189">
        <f>[2]Base!DZ453</f>
        <v>3979</v>
      </c>
      <c r="M453" s="190">
        <f>[2]Base!AO453</f>
        <v>3981250000</v>
      </c>
      <c r="N453" s="190">
        <f>[2]Base!AP453</f>
        <v>0</v>
      </c>
      <c r="O453" s="190">
        <f>[2]Base!AQ453</f>
        <v>3981250000</v>
      </c>
      <c r="P453" s="189">
        <f>+[2]Base!ED453</f>
        <v>765949055.36957943</v>
      </c>
      <c r="Q453" s="191">
        <f>'[1]SITE (Imprensa)_PT'!P453</f>
        <v>1.28644E-3</v>
      </c>
      <c r="R453" s="157">
        <f>'[1]SITE (Imprensa)_PT'!Q453</f>
        <v>0.31076097714285716</v>
      </c>
      <c r="S453" s="157">
        <f>'[1]SITE (Imprensa)_PT'!R453</f>
        <v>0.68788002285714289</v>
      </c>
      <c r="T453" s="158">
        <f>'[1]SITE (Imprensa)_PT'!S453</f>
        <v>7.2559999999999996E-5</v>
      </c>
      <c r="U453" s="1"/>
    </row>
    <row r="454" spans="2:21" ht="13.2" x14ac:dyDescent="0.25">
      <c r="B454" s="40" t="str">
        <f>[2]Base!A454</f>
        <v>MELIUZ</v>
      </c>
      <c r="C454" s="41" t="str">
        <f>[2]Base!C454</f>
        <v>NM</v>
      </c>
      <c r="D454" s="213" t="s">
        <v>141</v>
      </c>
      <c r="E454" s="213" t="str">
        <f>[2]Base!M454</f>
        <v>BTG Pactual</v>
      </c>
      <c r="F454" s="19" t="str">
        <f>[2]Base!F454</f>
        <v>FOLLOW-ON</v>
      </c>
      <c r="G454" s="19" t="str">
        <f>[2]Base!G454</f>
        <v>ICVM 476</v>
      </c>
      <c r="H454" s="20">
        <f>[2]Base!X454</f>
        <v>44392</v>
      </c>
      <c r="I454" s="187">
        <f>[2]Base!W454</f>
        <v>57</v>
      </c>
      <c r="J454" s="188">
        <f>[2]Base!J454</f>
        <v>44396</v>
      </c>
      <c r="K454" s="189">
        <f>'[1]SITE (Imprensa)_PT'!K454</f>
        <v>1</v>
      </c>
      <c r="L454" s="189">
        <f>[2]Base!DZ454</f>
        <v>1499</v>
      </c>
      <c r="M454" s="190">
        <f>[2]Base!AO454</f>
        <v>427500000</v>
      </c>
      <c r="N454" s="190">
        <f>[2]Base!AP454</f>
        <v>727660119</v>
      </c>
      <c r="O454" s="190">
        <f>[2]Base!AQ454</f>
        <v>1155160119</v>
      </c>
      <c r="P454" s="189">
        <f>+[2]Base!ED454</f>
        <v>226501984.11764708</v>
      </c>
      <c r="Q454" s="191">
        <f>'[1]SITE (Imprensa)_PT'!P454</f>
        <v>9.5085519481996595E-4</v>
      </c>
      <c r="R454" s="157">
        <f>'[1]SITE (Imprensa)_PT'!Q454</f>
        <v>0.54758813137315387</v>
      </c>
      <c r="S454" s="157">
        <f>'[1]SITE (Imprensa)_PT'!R454</f>
        <v>0.20196258091212721</v>
      </c>
      <c r="T454" s="158">
        <f>'[1]SITE (Imprensa)_PT'!S454</f>
        <v>0.11303048110164197</v>
      </c>
      <c r="U454" s="1"/>
    </row>
    <row r="455" spans="2:21" ht="13.2" x14ac:dyDescent="0.25">
      <c r="B455" s="40" t="str">
        <f>[2]Base!A455</f>
        <v>3TENTOS</v>
      </c>
      <c r="C455" s="41" t="str">
        <f>[2]Base!C455</f>
        <v>NM</v>
      </c>
      <c r="D455" s="213" t="s">
        <v>101</v>
      </c>
      <c r="E455" s="213" t="str">
        <f>[2]Base!M455</f>
        <v>BTG Pactual</v>
      </c>
      <c r="F455" s="19" t="str">
        <f>[2]Base!F455</f>
        <v>IPO</v>
      </c>
      <c r="G455" s="19" t="str">
        <f>[2]Base!G455</f>
        <v>ICVM 476</v>
      </c>
      <c r="H455" s="20">
        <f>[2]Base!X455</f>
        <v>44384</v>
      </c>
      <c r="I455" s="187">
        <f>[2]Base!W455</f>
        <v>12.25</v>
      </c>
      <c r="J455" s="188">
        <f>[2]Base!J455</f>
        <v>44389</v>
      </c>
      <c r="K455" s="189">
        <f>'[1]SITE (Imprensa)_PT'!K455</f>
        <v>20</v>
      </c>
      <c r="L455" s="189">
        <f>[2]Base!DZ455</f>
        <v>81</v>
      </c>
      <c r="M455" s="190">
        <f>[2]Base!AO455</f>
        <v>1152941175.75</v>
      </c>
      <c r="N455" s="190">
        <f>[2]Base!AP455</f>
        <v>192156868.75</v>
      </c>
      <c r="O455" s="190">
        <f>[2]Base!AQ455</f>
        <v>1345098044.5</v>
      </c>
      <c r="P455" s="189">
        <f>+[2]Base!ED455</f>
        <v>257051300.35545024</v>
      </c>
      <c r="Q455" s="191">
        <f>'[1]SITE (Imprensa)_PT'!P455</f>
        <v>6.211089618456434E-3</v>
      </c>
      <c r="R455" s="157">
        <f>'[1]SITE (Imprensa)_PT'!Q455</f>
        <v>0.98500678327318769</v>
      </c>
      <c r="S455" s="157">
        <f>'[1]SITE (Imprensa)_PT'!R455</f>
        <v>0.1586129409840206</v>
      </c>
      <c r="T455" s="158">
        <f>'[1]SITE (Imprensa)_PT'!S455</f>
        <v>1.6918339219249381E-4</v>
      </c>
      <c r="U455" s="1"/>
    </row>
    <row r="456" spans="2:21" ht="13.2" x14ac:dyDescent="0.25">
      <c r="B456" s="40" t="str">
        <f>[2]Base!A456</f>
        <v>WDC NETWORKS</v>
      </c>
      <c r="C456" s="41" t="str">
        <f>[2]Base!C456</f>
        <v>NM</v>
      </c>
      <c r="D456" s="213" t="s">
        <v>141</v>
      </c>
      <c r="E456" s="213" t="str">
        <f>[2]Base!M456</f>
        <v>BTG Pactual</v>
      </c>
      <c r="F456" s="19" t="str">
        <f>[2]Base!F456</f>
        <v>IPO</v>
      </c>
      <c r="G456" s="19" t="str">
        <f>[2]Base!G456</f>
        <v>ICVM 476</v>
      </c>
      <c r="H456" s="20">
        <f>[2]Base!X456</f>
        <v>44399</v>
      </c>
      <c r="I456" s="187">
        <f>[2]Base!W456</f>
        <v>23.2</v>
      </c>
      <c r="J456" s="188">
        <f>[2]Base!J456</f>
        <v>44400</v>
      </c>
      <c r="K456" s="189">
        <f>'[1]SITE (Imprensa)_PT'!K456</f>
        <v>0</v>
      </c>
      <c r="L456" s="189">
        <f>[2]Base!DZ456</f>
        <v>35</v>
      </c>
      <c r="M456" s="190">
        <f>[2]Base!AO456</f>
        <v>450080000</v>
      </c>
      <c r="N456" s="190">
        <f>[2]Base!AP456</f>
        <v>0</v>
      </c>
      <c r="O456" s="190">
        <f>[2]Base!AQ456</f>
        <v>450080000</v>
      </c>
      <c r="P456" s="189">
        <f>+[2]Base!ED456</f>
        <v>86590480.587941051</v>
      </c>
      <c r="Q456" s="191">
        <f>'[1]SITE (Imprensa)_PT'!P456</f>
        <v>0</v>
      </c>
      <c r="R456" s="157">
        <f>'[1]SITE (Imprensa)_PT'!Q456</f>
        <v>0.9503061855670103</v>
      </c>
      <c r="S456" s="157">
        <f>'[1]SITE (Imprensa)_PT'!R456</f>
        <v>5.6765979381443302E-2</v>
      </c>
      <c r="T456" s="158">
        <f>'[1]SITE (Imprensa)_PT'!S456</f>
        <v>0</v>
      </c>
      <c r="U456" s="1"/>
    </row>
    <row r="457" spans="2:21" ht="13.2" x14ac:dyDescent="0.25">
      <c r="B457" s="40" t="str">
        <f>[2]Base!A457</f>
        <v>SMART FIT</v>
      </c>
      <c r="C457" s="41" t="str">
        <f>[2]Base!C457</f>
        <v>NM</v>
      </c>
      <c r="D457" s="213" t="s">
        <v>152</v>
      </c>
      <c r="E457" s="213" t="str">
        <f>[2]Base!M457</f>
        <v>Itaú BBA</v>
      </c>
      <c r="F457" s="19" t="str">
        <f>[2]Base!F457</f>
        <v>IPO</v>
      </c>
      <c r="G457" s="19" t="str">
        <f>[2]Base!G457</f>
        <v>ICVM 400</v>
      </c>
      <c r="H457" s="20">
        <f>[2]Base!X457</f>
        <v>44389</v>
      </c>
      <c r="I457" s="187">
        <f>[2]Base!W457</f>
        <v>23</v>
      </c>
      <c r="J457" s="188">
        <f>[2]Base!J457</f>
        <v>44391</v>
      </c>
      <c r="K457" s="189">
        <f>'[1]SITE (Imprensa)_PT'!K457</f>
        <v>16164</v>
      </c>
      <c r="L457" s="189">
        <f>[2]Base!DZ457</f>
        <v>17305</v>
      </c>
      <c r="M457" s="190">
        <f>[2]Base!AO457</f>
        <v>2645000000</v>
      </c>
      <c r="N457" s="190">
        <f>[2]Base!AP457</f>
        <v>0</v>
      </c>
      <c r="O457" s="190">
        <f>[2]Base!AQ457</f>
        <v>2645000000</v>
      </c>
      <c r="P457" s="189">
        <f>+[2]Base!ED457</f>
        <v>506326690.78657705</v>
      </c>
      <c r="Q457" s="191">
        <f>'[1]SITE (Imprensa)_PT'!P457</f>
        <v>9.4812504347826093E-2</v>
      </c>
      <c r="R457" s="157">
        <f>'[1]SITE (Imprensa)_PT'!Q457</f>
        <v>0.40513107826086958</v>
      </c>
      <c r="S457" s="157">
        <f>'[1]SITE (Imprensa)_PT'!R457</f>
        <v>0.30761015652173912</v>
      </c>
      <c r="T457" s="158">
        <f>'[1]SITE (Imprensa)_PT'!S457</f>
        <v>0.19244626086956521</v>
      </c>
      <c r="U457" s="1"/>
    </row>
    <row r="458" spans="2:21" ht="13.2" x14ac:dyDescent="0.25">
      <c r="B458" s="40" t="str">
        <f>[2]Base!A458</f>
        <v>MULTILASER</v>
      </c>
      <c r="C458" s="41" t="str">
        <f>[2]Base!C458</f>
        <v>NM</v>
      </c>
      <c r="D458" s="213" t="s">
        <v>145</v>
      </c>
      <c r="E458" s="213" t="str">
        <f>[2]Base!M458</f>
        <v>Itáu BBA</v>
      </c>
      <c r="F458" s="19" t="str">
        <f>[2]Base!F458</f>
        <v>IPO</v>
      </c>
      <c r="G458" s="19" t="str">
        <f>[2]Base!G458</f>
        <v>ICVM 400</v>
      </c>
      <c r="H458" s="20">
        <f>[2]Base!X458</f>
        <v>44397</v>
      </c>
      <c r="I458" s="187">
        <f>[2]Base!W458</f>
        <v>11.1</v>
      </c>
      <c r="J458" s="188">
        <f>[2]Base!J458</f>
        <v>44399</v>
      </c>
      <c r="K458" s="189">
        <f>'[1]SITE (Imprensa)_PT'!K458</f>
        <v>18708</v>
      </c>
      <c r="L458" s="189">
        <f>[2]Base!DZ458</f>
        <v>19331</v>
      </c>
      <c r="M458" s="190">
        <f>[2]Base!AO458</f>
        <v>1912676941.8</v>
      </c>
      <c r="N458" s="190">
        <f>[2]Base!AP458</f>
        <v>0</v>
      </c>
      <c r="O458" s="190">
        <f>[2]Base!AQ458</f>
        <v>1912676941.8</v>
      </c>
      <c r="P458" s="189">
        <f>+[2]Base!ED458</f>
        <v>365558836.01544285</v>
      </c>
      <c r="Q458" s="191">
        <f>'[1]SITE (Imprensa)_PT'!P458</f>
        <v>0.12056232731231015</v>
      </c>
      <c r="R458" s="157">
        <f>'[1]SITE (Imprensa)_PT'!Q458</f>
        <v>0.74760222427019796</v>
      </c>
      <c r="S458" s="157">
        <f>'[1]SITE (Imprensa)_PT'!R458</f>
        <v>0.27520215829267858</v>
      </c>
      <c r="T458" s="158">
        <f>'[1]SITE (Imprensa)_PT'!S458</f>
        <v>6.6332860624440234E-3</v>
      </c>
      <c r="U458" s="1"/>
    </row>
    <row r="459" spans="2:21" ht="13.2" x14ac:dyDescent="0.25">
      <c r="B459" s="40" t="str">
        <f>[2]Base!A459</f>
        <v>DESKTOP</v>
      </c>
      <c r="C459" s="41" t="str">
        <f>[2]Base!C459</f>
        <v>NM</v>
      </c>
      <c r="D459" s="213" t="s">
        <v>145</v>
      </c>
      <c r="E459" s="213" t="str">
        <f>[2]Base!M459</f>
        <v>Itaú BBA</v>
      </c>
      <c r="F459" s="19" t="str">
        <f>[2]Base!F459</f>
        <v>IPO</v>
      </c>
      <c r="G459" s="19" t="str">
        <f>[2]Base!G459</f>
        <v>ICVM 400</v>
      </c>
      <c r="H459" s="20">
        <f>[2]Base!X459</f>
        <v>44396</v>
      </c>
      <c r="I459" s="187">
        <f>[2]Base!W459</f>
        <v>23.5</v>
      </c>
      <c r="J459" s="188">
        <f>[2]Base!J459</f>
        <v>44398</v>
      </c>
      <c r="K459" s="189">
        <f>'[1]SITE (Imprensa)_PT'!K459</f>
        <v>8393</v>
      </c>
      <c r="L459" s="189">
        <f>[2]Base!DZ459</f>
        <v>8845</v>
      </c>
      <c r="M459" s="190">
        <f>[2]Base!AO459</f>
        <v>715222500</v>
      </c>
      <c r="N459" s="190">
        <f>[2]Base!AP459</f>
        <v>0</v>
      </c>
      <c r="O459" s="190">
        <f>[2]Base!AQ459</f>
        <v>715222500</v>
      </c>
      <c r="P459" s="189">
        <f>+[2]Base!ED459</f>
        <v>136191351.20725113</v>
      </c>
      <c r="Q459" s="191">
        <f>'[1]SITE (Imprensa)_PT'!P459</f>
        <v>0.13538975057741184</v>
      </c>
      <c r="R459" s="157">
        <f>'[1]SITE (Imprensa)_PT'!Q459</f>
        <v>1.0877674117453784</v>
      </c>
      <c r="S459" s="157">
        <f>'[1]SITE (Imprensa)_PT'!R459</f>
        <v>0.12584238347877347</v>
      </c>
      <c r="T459" s="158">
        <f>'[1]SITE (Imprensa)_PT'!S459</f>
        <v>3.9416306690246332E-3</v>
      </c>
      <c r="U459" s="1"/>
    </row>
    <row r="460" spans="2:21" ht="13.2" x14ac:dyDescent="0.25">
      <c r="B460" s="40" t="str">
        <f>[2]Base!A460</f>
        <v>CBA</v>
      </c>
      <c r="C460" s="41" t="str">
        <f>[2]Base!C460</f>
        <v>NM</v>
      </c>
      <c r="D460" s="213" t="s">
        <v>147</v>
      </c>
      <c r="E460" s="213" t="str">
        <f>[2]Base!M460</f>
        <v>BofA Merrill Lynch</v>
      </c>
      <c r="F460" s="19" t="str">
        <f>[2]Base!F460</f>
        <v>IPO</v>
      </c>
      <c r="G460" s="19" t="str">
        <f>[2]Base!G460</f>
        <v>ICVM 400</v>
      </c>
      <c r="H460" s="20">
        <f>[2]Base!X460</f>
        <v>44390</v>
      </c>
      <c r="I460" s="187">
        <f>[2]Base!W460</f>
        <v>11.2</v>
      </c>
      <c r="J460" s="188">
        <f>[2]Base!J460</f>
        <v>44392</v>
      </c>
      <c r="K460" s="189">
        <f>'[1]SITE (Imprensa)_PT'!K460</f>
        <v>7782</v>
      </c>
      <c r="L460" s="189">
        <f>[2]Base!DZ460</f>
        <v>8191</v>
      </c>
      <c r="M460" s="190">
        <f>[2]Base!AO460</f>
        <v>700000000</v>
      </c>
      <c r="N460" s="190">
        <f>[2]Base!AP460</f>
        <v>910000000</v>
      </c>
      <c r="O460" s="190">
        <f>[2]Base!AQ460</f>
        <v>1610000000</v>
      </c>
      <c r="P460" s="189">
        <f>+[2]Base!ED460</f>
        <v>315686274.50980395</v>
      </c>
      <c r="Q460" s="191">
        <f>'[1]SITE (Imprensa)_PT'!P460</f>
        <v>0.1055669008695652</v>
      </c>
      <c r="R460" s="157">
        <f>'[1]SITE (Imprensa)_PT'!Q460</f>
        <v>0.57626807652173906</v>
      </c>
      <c r="S460" s="157">
        <f>'[1]SITE (Imprensa)_PT'!R460</f>
        <v>0.28857176347826086</v>
      </c>
      <c r="T460" s="158">
        <f>'[1]SITE (Imprensa)_PT'!S460</f>
        <v>0.16002804173913043</v>
      </c>
      <c r="U460" s="1"/>
    </row>
    <row r="461" spans="2:21" ht="13.2" x14ac:dyDescent="0.25">
      <c r="B461" s="40" t="str">
        <f>[2]Base!A461</f>
        <v>PETROBRAS BR</v>
      </c>
      <c r="C461" s="41" t="str">
        <f>[2]Base!C461</f>
        <v>NM</v>
      </c>
      <c r="D461" s="213" t="s">
        <v>139</v>
      </c>
      <c r="E461" s="213" t="str">
        <f>[2]Base!M461</f>
        <v>Morgan Stanley</v>
      </c>
      <c r="F461" s="19" t="str">
        <f>[2]Base!F461</f>
        <v>FOLLOW-ON</v>
      </c>
      <c r="G461" s="19" t="str">
        <f>[2]Base!G461</f>
        <v>ICVM 400</v>
      </c>
      <c r="H461" s="20">
        <f>[2]Base!X461</f>
        <v>44378</v>
      </c>
      <c r="I461" s="187">
        <f>[2]Base!W461</f>
        <v>26</v>
      </c>
      <c r="J461" s="188">
        <f>[2]Base!J461</f>
        <v>44379</v>
      </c>
      <c r="K461" s="189">
        <f>'[1]SITE (Imprensa)_PT'!K461</f>
        <v>4859</v>
      </c>
      <c r="L461" s="189">
        <f>[2]Base!DZ461</f>
        <v>5795</v>
      </c>
      <c r="M461" s="190">
        <f>[2]Base!AO461</f>
        <v>0</v>
      </c>
      <c r="N461" s="190">
        <f>[2]Base!AP461</f>
        <v>11358750000</v>
      </c>
      <c r="O461" s="190">
        <f>[2]Base!AQ461</f>
        <v>11358750000</v>
      </c>
      <c r="P461" s="189">
        <f>+[2]Base!ED461</f>
        <v>2258515101.5051794</v>
      </c>
      <c r="Q461" s="191">
        <f>'[1]SITE (Imprensa)_PT'!P461</f>
        <v>6.189990042918455E-2</v>
      </c>
      <c r="R461" s="157">
        <f>'[1]SITE (Imprensa)_PT'!Q461</f>
        <v>0.59253524234620891</v>
      </c>
      <c r="S461" s="157">
        <f>'[1]SITE (Imprensa)_PT'!R461</f>
        <v>0.34119225865522174</v>
      </c>
      <c r="T461" s="158">
        <f>'[1]SITE (Imprensa)_PT'!S461</f>
        <v>4.3725985693848354E-3</v>
      </c>
      <c r="U461" s="1"/>
    </row>
    <row r="462" spans="2:21" ht="13.2" x14ac:dyDescent="0.25">
      <c r="B462" s="40" t="str">
        <f>[2]Base!A462</f>
        <v>AGROGALAXY</v>
      </c>
      <c r="C462" s="41" t="str">
        <f>[2]Base!C462</f>
        <v>NM</v>
      </c>
      <c r="D462" s="213" t="s">
        <v>101</v>
      </c>
      <c r="E462" s="213" t="str">
        <f>[2]Base!M462</f>
        <v>Itaú BBA</v>
      </c>
      <c r="F462" s="19" t="str">
        <f>[2]Base!F462</f>
        <v>IPO</v>
      </c>
      <c r="G462" s="19" t="str">
        <f>[2]Base!G462</f>
        <v>ICVM 476</v>
      </c>
      <c r="H462" s="20">
        <f>[2]Base!X462</f>
        <v>44399</v>
      </c>
      <c r="I462" s="187">
        <f>[2]Base!W462</f>
        <v>13.75</v>
      </c>
      <c r="J462" s="188">
        <f>[2]Base!J462</f>
        <v>44403</v>
      </c>
      <c r="K462" s="189">
        <f>'[1]SITE (Imprensa)_PT'!K462</f>
        <v>0</v>
      </c>
      <c r="L462" s="189">
        <f>[2]Base!DZ462</f>
        <v>120</v>
      </c>
      <c r="M462" s="190">
        <f>[2]Base!AO462</f>
        <v>349999993.75</v>
      </c>
      <c r="N462" s="190">
        <f>[2]Base!AP462</f>
        <v>0</v>
      </c>
      <c r="O462" s="190">
        <f>[2]Base!AQ462</f>
        <v>349999993.75</v>
      </c>
      <c r="P462" s="189">
        <f>+[2]Base!ED462</f>
        <v>67485489.414418757</v>
      </c>
      <c r="Q462" s="191">
        <f>'[1]SITE (Imprensa)_PT'!P462</f>
        <v>0</v>
      </c>
      <c r="R462" s="157">
        <f>'[1]SITE (Imprensa)_PT'!Q462</f>
        <v>0</v>
      </c>
      <c r="S462" s="157">
        <f>'[1]SITE (Imprensa)_PT'!R462</f>
        <v>0</v>
      </c>
      <c r="T462" s="158">
        <f>'[1]SITE (Imprensa)_PT'!S462</f>
        <v>0</v>
      </c>
      <c r="U462" s="1"/>
    </row>
    <row r="463" spans="2:21" ht="13.2" x14ac:dyDescent="0.25">
      <c r="B463" s="40" t="str">
        <f>[2]Base!A463</f>
        <v>UNIFIQUE</v>
      </c>
      <c r="C463" s="41" t="str">
        <f>[2]Base!C463</f>
        <v>NM</v>
      </c>
      <c r="D463" s="262" t="s">
        <v>153</v>
      </c>
      <c r="E463" s="213" t="str">
        <f>[2]Base!M463</f>
        <v>XP Investimentos</v>
      </c>
      <c r="F463" s="19" t="str">
        <f>[2]Base!F463</f>
        <v>IPO</v>
      </c>
      <c r="G463" s="19" t="str">
        <f>[2]Base!G463</f>
        <v>ICVM 400</v>
      </c>
      <c r="H463" s="20">
        <f>[2]Base!X463</f>
        <v>44400</v>
      </c>
      <c r="I463" s="187">
        <f>[2]Base!W463</f>
        <v>8.6</v>
      </c>
      <c r="J463" s="188">
        <f>[2]Base!J463</f>
        <v>44404</v>
      </c>
      <c r="K463" s="189">
        <f>'[1]SITE (Imprensa)_PT'!K463</f>
        <v>9372</v>
      </c>
      <c r="L463" s="189">
        <f>[2]Base!DZ463</f>
        <v>9957</v>
      </c>
      <c r="M463" s="190">
        <f>[2]Base!AO463</f>
        <v>863420899.39999998</v>
      </c>
      <c r="N463" s="190">
        <f>[2]Base!AP463</f>
        <v>0</v>
      </c>
      <c r="O463" s="190">
        <f>[2]Base!AQ463</f>
        <v>863420899.39999998</v>
      </c>
      <c r="P463" s="189">
        <f>+[2]Base!ED463</f>
        <v>167106175.7339991</v>
      </c>
      <c r="Q463" s="191">
        <f>'[1]SITE (Imprensa)_PT'!P463</f>
        <v>0.13741440893893783</v>
      </c>
      <c r="R463" s="157">
        <f>'[1]SITE (Imprensa)_PT'!Q463</f>
        <v>0.57668200068671305</v>
      </c>
      <c r="S463" s="157">
        <f>'[1]SITE (Imprensa)_PT'!R463</f>
        <v>0.26737908447076225</v>
      </c>
      <c r="T463" s="158">
        <f>'[1]SITE (Imprensa)_PT'!S463</f>
        <v>1.7299031783209139E-2</v>
      </c>
      <c r="U463" s="1"/>
    </row>
    <row r="464" spans="2:21" ht="13.2" x14ac:dyDescent="0.25">
      <c r="B464" s="40" t="str">
        <f>[2]Base!A464</f>
        <v>ARMAC</v>
      </c>
      <c r="C464" s="41" t="str">
        <f>[2]Base!C464</f>
        <v>NM</v>
      </c>
      <c r="D464" s="213" t="s">
        <v>96</v>
      </c>
      <c r="E464" s="213" t="str">
        <f>[2]Base!M464</f>
        <v>Santander</v>
      </c>
      <c r="F464" s="19" t="str">
        <f>[2]Base!F464</f>
        <v>IPO</v>
      </c>
      <c r="G464" s="19" t="str">
        <f>[2]Base!G464</f>
        <v>ICVM 400</v>
      </c>
      <c r="H464" s="20">
        <f>[2]Base!X464</f>
        <v>44403</v>
      </c>
      <c r="I464" s="187">
        <f>[2]Base!W464</f>
        <v>16.63</v>
      </c>
      <c r="J464" s="188">
        <f>[2]Base!J464</f>
        <v>44405</v>
      </c>
      <c r="K464" s="189">
        <f>'[1]SITE (Imprensa)_PT'!K464</f>
        <v>8076</v>
      </c>
      <c r="L464" s="189">
        <f>[2]Base!DZ464</f>
        <v>8716</v>
      </c>
      <c r="M464" s="190">
        <f>[2]Base!AO464</f>
        <v>1000300752.8799999</v>
      </c>
      <c r="N464" s="190">
        <f>[2]Base!AP464</f>
        <v>532483071.00999999</v>
      </c>
      <c r="O464" s="190">
        <f>[2]Base!AQ464</f>
        <v>1532783823.8899999</v>
      </c>
      <c r="P464" s="189">
        <f>+[2]Base!ED464</f>
        <v>297471970.79007119</v>
      </c>
      <c r="Q464" s="191">
        <f>'[1]SITE (Imprensa)_PT'!P464</f>
        <v>0.1085082388643057</v>
      </c>
      <c r="R464" s="157">
        <f>'[1]SITE (Imprensa)_PT'!Q464</f>
        <v>0.60516811563544293</v>
      </c>
      <c r="S464" s="157">
        <f>'[1]SITE (Imprensa)_PT'!R464</f>
        <v>0.28248616306579283</v>
      </c>
      <c r="T464" s="158">
        <f>'[1]SITE (Imprensa)_PT'!S464</f>
        <v>3.8374824344584967E-3</v>
      </c>
      <c r="U464" s="1"/>
    </row>
    <row r="465" spans="2:21" ht="13.2" x14ac:dyDescent="0.25">
      <c r="B465" s="40" t="str">
        <f>[2]Base!A465</f>
        <v>TC</v>
      </c>
      <c r="C465" s="41" t="str">
        <f>[2]Base!C465</f>
        <v>NM</v>
      </c>
      <c r="D465" s="213" t="s">
        <v>141</v>
      </c>
      <c r="E465" s="213" t="str">
        <f>[2]Base!M465</f>
        <v>BTG Pactual</v>
      </c>
      <c r="F465" s="19" t="str">
        <f>[2]Base!F465</f>
        <v>IPO</v>
      </c>
      <c r="G465" s="19" t="str">
        <f>[2]Base!G465</f>
        <v>ICVM 400</v>
      </c>
      <c r="H465" s="20">
        <f>[2]Base!X465</f>
        <v>44403</v>
      </c>
      <c r="I465" s="187">
        <f>[2]Base!W465</f>
        <v>9.5</v>
      </c>
      <c r="J465" s="188">
        <f>[2]Base!J465</f>
        <v>44405</v>
      </c>
      <c r="K465" s="189">
        <f>'[1]SITE (Imprensa)_PT'!K465</f>
        <v>3762</v>
      </c>
      <c r="L465" s="189">
        <f>[2]Base!DZ465</f>
        <v>4230</v>
      </c>
      <c r="M465" s="190">
        <f>[2]Base!AO465</f>
        <v>544930345.5</v>
      </c>
      <c r="N465" s="190">
        <f>[2]Base!AP465</f>
        <v>0</v>
      </c>
      <c r="O465" s="190">
        <f>[2]Base!AQ465</f>
        <v>544930345.5</v>
      </c>
      <c r="P465" s="189">
        <f>+[2]Base!ED465</f>
        <v>105756272.53672831</v>
      </c>
      <c r="Q465" s="191">
        <f>'[1]SITE (Imprensa)_PT'!P465</f>
        <v>0.10257094938683313</v>
      </c>
      <c r="R465" s="157">
        <f>'[1]SITE (Imprensa)_PT'!Q465</f>
        <v>0.69925371530564573</v>
      </c>
      <c r="S465" s="157">
        <f>'[1]SITE (Imprensa)_PT'!R465</f>
        <v>2.3509721698243963E-2</v>
      </c>
      <c r="T465" s="158">
        <f>'[1]SITE (Imprensa)_PT'!S465</f>
        <v>0.17466561360927718</v>
      </c>
      <c r="U465" s="1"/>
    </row>
    <row r="466" spans="2:21" ht="13.2" x14ac:dyDescent="0.25">
      <c r="B466" s="40" t="str">
        <f>[2]Base!A466</f>
        <v>BRISANET</v>
      </c>
      <c r="C466" s="41" t="str">
        <f>[2]Base!C466</f>
        <v>NM</v>
      </c>
      <c r="D466" s="213" t="s">
        <v>153</v>
      </c>
      <c r="E466" s="213" t="str">
        <f>[2]Base!M466</f>
        <v>Santander</v>
      </c>
      <c r="F466" s="19" t="str">
        <f>[2]Base!F466</f>
        <v>IPO</v>
      </c>
      <c r="G466" s="19" t="str">
        <f>[2]Base!G466</f>
        <v>ICVM 400</v>
      </c>
      <c r="H466" s="20">
        <f>[2]Base!X466</f>
        <v>44404</v>
      </c>
      <c r="I466" s="187">
        <f>[2]Base!W466</f>
        <v>13.92</v>
      </c>
      <c r="J466" s="188">
        <f>[2]Base!J466</f>
        <v>44406</v>
      </c>
      <c r="K466" s="189">
        <f>'[1]SITE (Imprensa)_PT'!K466</f>
        <v>5965</v>
      </c>
      <c r="L466" s="189">
        <f>[2]Base!DZ466</f>
        <v>6183</v>
      </c>
      <c r="M466" s="190">
        <f>[2]Base!AO466</f>
        <v>1340059997.76</v>
      </c>
      <c r="N466" s="190">
        <f>[2]Base!AP466</f>
        <v>0</v>
      </c>
      <c r="O466" s="190">
        <f>[2]Base!AQ466</f>
        <v>1340059997.76</v>
      </c>
      <c r="P466" s="189">
        <f>+[2]Base!ED466</f>
        <v>264405508.41718954</v>
      </c>
      <c r="Q466" s="191">
        <f>'[1]SITE (Imprensa)_PT'!P466</f>
        <v>0.1450352158086114</v>
      </c>
      <c r="R466" s="157">
        <f>'[1]SITE (Imprensa)_PT'!Q466</f>
        <v>0.77910457999665683</v>
      </c>
      <c r="S466" s="157">
        <f>'[1]SITE (Imprensa)_PT'!R466</f>
        <v>7.3797487753256605E-2</v>
      </c>
      <c r="T466" s="158">
        <f>'[1]SITE (Imprensa)_PT'!S466</f>
        <v>2.0627164414751199E-3</v>
      </c>
      <c r="U466" s="1"/>
    </row>
    <row r="467" spans="2:21" ht="13.2" x14ac:dyDescent="0.25">
      <c r="B467" s="40" t="str">
        <f>[2]Base!A467</f>
        <v>CLEARSALE</v>
      </c>
      <c r="C467" s="41" t="str">
        <f>[2]Base!C467</f>
        <v>NM</v>
      </c>
      <c r="D467" s="213" t="s">
        <v>104</v>
      </c>
      <c r="E467" s="213" t="str">
        <f>[2]Base!M467</f>
        <v>Itaú BBA</v>
      </c>
      <c r="F467" s="19" t="str">
        <f>[2]Base!F467</f>
        <v>IPO</v>
      </c>
      <c r="G467" s="19" t="str">
        <f>[2]Base!G467</f>
        <v>ICVM 400</v>
      </c>
      <c r="H467" s="20">
        <f>[2]Base!X467</f>
        <v>44405</v>
      </c>
      <c r="I467" s="187">
        <f>[2]Base!W467</f>
        <v>25</v>
      </c>
      <c r="J467" s="188">
        <f>[2]Base!J467</f>
        <v>44407</v>
      </c>
      <c r="K467" s="189">
        <f>'[1]SITE (Imprensa)_PT'!K467</f>
        <v>7444</v>
      </c>
      <c r="L467" s="189">
        <f>[2]Base!DZ467</f>
        <v>8026</v>
      </c>
      <c r="M467" s="190">
        <f>[2]Base!AO467</f>
        <v>795156250</v>
      </c>
      <c r="N467" s="190">
        <f>[2]Base!AP467</f>
        <v>509967250</v>
      </c>
      <c r="O467" s="190">
        <f>[2]Base!AQ467</f>
        <v>1305123500</v>
      </c>
      <c r="P467" s="189">
        <f>+[2]Base!ED467</f>
        <v>254827300.06248048</v>
      </c>
      <c r="Q467" s="191">
        <f>'[1]SITE (Imprensa)_PT'!P467</f>
        <v>9.6234015401607587E-2</v>
      </c>
      <c r="R467" s="157">
        <f>'[1]SITE (Imprensa)_PT'!Q467</f>
        <v>0.505568266144928</v>
      </c>
      <c r="S467" s="157">
        <f>'[1]SITE (Imprensa)_PT'!R467</f>
        <v>0.39317903631342166</v>
      </c>
      <c r="T467" s="158">
        <f>'[1]SITE (Imprensa)_PT'!S467</f>
        <v>6.5138280017178448E-3</v>
      </c>
      <c r="U467" s="1"/>
    </row>
    <row r="468" spans="2:21" ht="13.2" x14ac:dyDescent="0.25">
      <c r="B468" s="40" t="str">
        <f>[2]Base!A468</f>
        <v>VIVEO</v>
      </c>
      <c r="C468" s="41" t="str">
        <f>[2]Base!C468</f>
        <v>NM</v>
      </c>
      <c r="D468" s="213" t="s">
        <v>128</v>
      </c>
      <c r="E468" s="213" t="str">
        <f>[2]Base!M468</f>
        <v>JP Morgan</v>
      </c>
      <c r="F468" s="19" t="str">
        <f>[2]Base!F468</f>
        <v>IPO</v>
      </c>
      <c r="G468" s="19" t="str">
        <f>[2]Base!G468</f>
        <v>ICVM 476</v>
      </c>
      <c r="H468" s="20">
        <f>[2]Base!X468</f>
        <v>44413</v>
      </c>
      <c r="I468" s="187">
        <f>[2]Base!W468</f>
        <v>19.920000000000002</v>
      </c>
      <c r="J468" s="188">
        <f>[2]Base!J468</f>
        <v>44417</v>
      </c>
      <c r="K468" s="189">
        <f>'[1]SITE (Imprensa)_PT'!K468</f>
        <v>1</v>
      </c>
      <c r="L468" s="189">
        <f>[2]Base!DZ468</f>
        <v>215</v>
      </c>
      <c r="M468" s="190">
        <f>[2]Base!AO468</f>
        <v>699999995.04000008</v>
      </c>
      <c r="N468" s="190">
        <f>[2]Base!AP468</f>
        <v>1176980291.5200002</v>
      </c>
      <c r="O468" s="190">
        <f>[2]Base!AQ468</f>
        <v>1876980286.5600004</v>
      </c>
      <c r="P468" s="189">
        <f>+[2]Base!ED468</f>
        <v>355663828.12748712</v>
      </c>
      <c r="Q468" s="191">
        <f>'[1]SITE (Imprensa)_PT'!P468</f>
        <v>6.8685985102315473E-5</v>
      </c>
      <c r="R468" s="157">
        <f>'[1]SITE (Imprensa)_PT'!Q468</f>
        <v>0.38145919682098506</v>
      </c>
      <c r="S468" s="157">
        <f>'[1]SITE (Imprensa)_PT'!R468</f>
        <v>0.61146401354243107</v>
      </c>
      <c r="T468" s="158">
        <f>'[1]SITE (Imprensa)_PT'!S468</f>
        <v>0</v>
      </c>
      <c r="U468" s="1"/>
    </row>
    <row r="469" spans="2:21" ht="13.2" x14ac:dyDescent="0.25">
      <c r="B469" s="40" t="str">
        <f>[2]Base!A469</f>
        <v>RAIZEN</v>
      </c>
      <c r="C469" s="41" t="str">
        <f>[2]Base!C469</f>
        <v>N2</v>
      </c>
      <c r="D469" s="213" t="s">
        <v>139</v>
      </c>
      <c r="E469" s="213" t="str">
        <f>[2]Base!M469</f>
        <v>BTG Pactual</v>
      </c>
      <c r="F469" s="19" t="str">
        <f>[2]Base!F469</f>
        <v>IPO</v>
      </c>
      <c r="G469" s="19" t="str">
        <f>[2]Base!G469</f>
        <v>ICVM 400</v>
      </c>
      <c r="H469" s="20">
        <f>[2]Base!X469</f>
        <v>44411</v>
      </c>
      <c r="I469" s="187">
        <f>[2]Base!W469</f>
        <v>7.4</v>
      </c>
      <c r="J469" s="188">
        <f>[2]Base!J469</f>
        <v>44413</v>
      </c>
      <c r="K469" s="189">
        <f>'[1]SITE (Imprensa)_PT'!K469</f>
        <v>82316</v>
      </c>
      <c r="L469" s="189">
        <f>[2]Base!DZ469</f>
        <v>85700</v>
      </c>
      <c r="M469" s="190">
        <f>[2]Base!AO469</f>
        <v>6709671390</v>
      </c>
      <c r="N469" s="190">
        <f>[2]Base!AP469</f>
        <v>0</v>
      </c>
      <c r="O469" s="190">
        <f>[2]Base!AQ469</f>
        <v>6709671390</v>
      </c>
      <c r="P469" s="189">
        <f>+[2]Base!ED469</f>
        <v>1288067303.3729434</v>
      </c>
      <c r="Q469" s="191">
        <f>'[1]SITE (Imprensa)_PT'!P469</f>
        <v>0.14761923778803718</v>
      </c>
      <c r="R469" s="157">
        <f>'[1]SITE (Imprensa)_PT'!Q469</f>
        <v>0.36980073890026977</v>
      </c>
      <c r="S469" s="157">
        <f>'[1]SITE (Imprensa)_PT'!R469</f>
        <v>0.49911008601570284</v>
      </c>
      <c r="T469" s="158">
        <f>'[1]SITE (Imprensa)_PT'!S469</f>
        <v>1.1836485959411495E-2</v>
      </c>
      <c r="U469" s="1"/>
    </row>
    <row r="470" spans="2:21" ht="13.2" x14ac:dyDescent="0.25">
      <c r="B470" s="178" t="str">
        <f>[2]Base!A470</f>
        <v>ONCOCLINICAS</v>
      </c>
      <c r="C470" s="74" t="str">
        <f>[2]Base!C470</f>
        <v>NM</v>
      </c>
      <c r="D470" s="223" t="s">
        <v>131</v>
      </c>
      <c r="E470" s="223" t="str">
        <f>[2]Base!M470</f>
        <v>Goldman Sachs</v>
      </c>
      <c r="F470" s="52" t="str">
        <f>[2]Base!F470</f>
        <v>IPO</v>
      </c>
      <c r="G470" s="52" t="str">
        <f>[2]Base!G470</f>
        <v>ICVM 400</v>
      </c>
      <c r="H470" s="53">
        <f>[2]Base!X470</f>
        <v>44414</v>
      </c>
      <c r="I470" s="198">
        <f>[2]Base!W470</f>
        <v>19.75</v>
      </c>
      <c r="J470" s="227">
        <f>[2]Base!J470</f>
        <v>44418</v>
      </c>
      <c r="K470" s="258">
        <f>'[1]SITE (Imprensa)_PT'!K470</f>
        <v>6528</v>
      </c>
      <c r="L470" s="258">
        <f>[2]Base!DZ470</f>
        <v>6914</v>
      </c>
      <c r="M470" s="259">
        <f>[2]Base!AO470</f>
        <v>1780423533.25</v>
      </c>
      <c r="N470" s="259">
        <f>[2]Base!AP470</f>
        <v>889239089</v>
      </c>
      <c r="O470" s="259">
        <f>[2]Base!AQ470</f>
        <v>2669662622.25</v>
      </c>
      <c r="P470" s="258">
        <f>+[2]Base!ED470</f>
        <v>511263117.80646145</v>
      </c>
      <c r="Q470" s="260">
        <f>'[1]SITE (Imprensa)_PT'!P470</f>
        <v>0.11072559344306214</v>
      </c>
      <c r="R470" s="210">
        <f>'[1]SITE (Imprensa)_PT'!Q470</f>
        <v>0.6638166949944565</v>
      </c>
      <c r="S470" s="210">
        <f>'[1]SITE (Imprensa)_PT'!R470</f>
        <v>0.3556375446483423</v>
      </c>
      <c r="T470" s="212">
        <f>'[1]SITE (Imprensa)_PT'!S470</f>
        <v>1.5844453866414868E-2</v>
      </c>
      <c r="U470" s="1"/>
    </row>
    <row r="471" spans="2:21" ht="13.2" x14ac:dyDescent="0.25">
      <c r="B471" s="125" t="str">
        <f>[2]Base!A471</f>
        <v>KORA SAUDE</v>
      </c>
      <c r="C471" s="126" t="str">
        <f>[2]Base!C471</f>
        <v>NM</v>
      </c>
      <c r="D471" s="263" t="s">
        <v>131</v>
      </c>
      <c r="E471" s="263" t="str">
        <f>[2]Base!M471</f>
        <v>Itaú BBA</v>
      </c>
      <c r="F471" s="126" t="str">
        <f>[2]Base!F471</f>
        <v>IPO</v>
      </c>
      <c r="G471" s="126" t="str">
        <f>[2]Base!G471</f>
        <v>ICVM 476</v>
      </c>
      <c r="H471" s="127">
        <f>[2]Base!X471</f>
        <v>44419</v>
      </c>
      <c r="I471" s="264">
        <f>[2]Base!W471</f>
        <v>7.2</v>
      </c>
      <c r="J471" s="265">
        <f>[2]Base!J471</f>
        <v>44421</v>
      </c>
      <c r="K471" s="266">
        <f>'[1]SITE (Imprensa)_PT'!K471</f>
        <v>19</v>
      </c>
      <c r="L471" s="266">
        <f>[2]Base!DZ471</f>
        <v>80</v>
      </c>
      <c r="M471" s="267">
        <f>[2]Base!AO471</f>
        <v>769920796.80000007</v>
      </c>
      <c r="N471" s="267">
        <f>[2]Base!AP471</f>
        <v>0</v>
      </c>
      <c r="O471" s="267">
        <f>[2]Base!AQ471</f>
        <v>769920796.80000007</v>
      </c>
      <c r="P471" s="266">
        <f>+[2]Base!ED471</f>
        <v>146724243.77787095</v>
      </c>
      <c r="Q471" s="268">
        <f>'[1]SITE (Imprensa)_PT'!P471</f>
        <v>1.6061111807078804E-3</v>
      </c>
      <c r="R471" s="269">
        <f>'[1]SITE (Imprensa)_PT'!Q471</f>
        <v>0.79753485728936213</v>
      </c>
      <c r="S471" s="269">
        <f>'[1]SITE (Imprensa)_PT'!R471</f>
        <v>0.27233651054949654</v>
      </c>
      <c r="T471" s="270">
        <f>'[1]SITE (Imprensa)_PT'!S471</f>
        <v>6.4900182210534618E-2</v>
      </c>
      <c r="U471" s="1"/>
    </row>
    <row r="472" spans="2:21" ht="13.2" x14ac:dyDescent="0.25">
      <c r="B472" s="125" t="str">
        <f>[2]Base!A472</f>
        <v>VITTIA</v>
      </c>
      <c r="C472" s="126" t="str">
        <f>[2]Base!C472</f>
        <v>NM</v>
      </c>
      <c r="D472" s="263" t="s">
        <v>94</v>
      </c>
      <c r="E472" s="263" t="str">
        <f>[2]Base!M472</f>
        <v>XP Investimentos</v>
      </c>
      <c r="F472" s="126" t="str">
        <f>[2]Base!F472</f>
        <v>IPO</v>
      </c>
      <c r="G472" s="126" t="str">
        <f>[2]Base!G472</f>
        <v>ICVM 476</v>
      </c>
      <c r="H472" s="127">
        <f>[2]Base!X472</f>
        <v>44439</v>
      </c>
      <c r="I472" s="264">
        <f>[2]Base!W472</f>
        <v>8.6</v>
      </c>
      <c r="J472" s="265">
        <f>[2]Base!J472</f>
        <v>44441</v>
      </c>
      <c r="K472" s="266">
        <f>'[1]SITE (Imprensa)_PT'!K472</f>
        <v>2</v>
      </c>
      <c r="L472" s="266">
        <f>[2]Base!DZ472</f>
        <v>267</v>
      </c>
      <c r="M472" s="267">
        <f>[2]Base!AO472</f>
        <v>71611907.599999994</v>
      </c>
      <c r="N472" s="267">
        <f>[2]Base!AP472</f>
        <v>310388095.39999998</v>
      </c>
      <c r="O472" s="267">
        <f>[2]Base!AQ472</f>
        <v>382000003</v>
      </c>
      <c r="P472" s="266">
        <f>+[2]Base!ED472</f>
        <v>73837827.969459757</v>
      </c>
      <c r="Q472" s="268">
        <f>'[1]SITE (Imprensa)_PT'!P472</f>
        <v>5.0955449861606415E-3</v>
      </c>
      <c r="R472" s="269">
        <f>'[1]SITE (Imprensa)_PT'!Q472</f>
        <v>1.0072587376393292</v>
      </c>
      <c r="S472" s="269">
        <f>'[1]SITE (Imprensa)_PT'!R472</f>
        <v>0.11636587866728368</v>
      </c>
      <c r="T472" s="270">
        <f>'[1]SITE (Imprensa)_PT'!S472</f>
        <v>5.0955449861606415E-3</v>
      </c>
      <c r="U472" s="1"/>
    </row>
    <row r="473" spans="2:21" ht="13.2" x14ac:dyDescent="0.25">
      <c r="B473" s="125" t="str">
        <f>[2]Base!A473</f>
        <v>SINQIA</v>
      </c>
      <c r="C473" s="126" t="str">
        <f>[2]Base!C473</f>
        <v>NM</v>
      </c>
      <c r="D473" s="263" t="s">
        <v>78</v>
      </c>
      <c r="E473" s="263" t="str">
        <f>[2]Base!M473</f>
        <v>BTG Pactual</v>
      </c>
      <c r="F473" s="126" t="str">
        <f>[2]Base!F473</f>
        <v>FOLLOW-ON</v>
      </c>
      <c r="G473" s="126" t="str">
        <f>[2]Base!G473</f>
        <v>ICVM 476</v>
      </c>
      <c r="H473" s="127">
        <f>[2]Base!X473</f>
        <v>44441</v>
      </c>
      <c r="I473" s="264">
        <f>[2]Base!W473</f>
        <v>23</v>
      </c>
      <c r="J473" s="265">
        <f>[2]Base!J473</f>
        <v>44445</v>
      </c>
      <c r="K473" s="266">
        <f>'[1]SITE (Imprensa)_PT'!K473</f>
        <v>1</v>
      </c>
      <c r="L473" s="266">
        <f>[2]Base!DZ473</f>
        <v>1844</v>
      </c>
      <c r="M473" s="267">
        <f>[2]Base!AO473</f>
        <v>400042680</v>
      </c>
      <c r="N473" s="267">
        <f>[2]Base!AP473</f>
        <v>0</v>
      </c>
      <c r="O473" s="267">
        <f>[2]Base!AQ473</f>
        <v>400042680</v>
      </c>
      <c r="P473" s="266">
        <f>+[2]Base!ED473</f>
        <v>77268591.737005785</v>
      </c>
      <c r="Q473" s="268">
        <f>'[1]SITE (Imprensa)_PT'!P473</f>
        <v>3.5071257896782414E-4</v>
      </c>
      <c r="R473" s="269">
        <f>'[1]SITE (Imprensa)_PT'!Q473</f>
        <v>0.54959679552191776</v>
      </c>
      <c r="S473" s="269">
        <f>'[1]SITE (Imprensa)_PT'!R473</f>
        <v>0.19200427064432224</v>
      </c>
      <c r="T473" s="270">
        <f>'[1]SITE (Imprensa)_PT'!S473</f>
        <v>0.25649588688886898</v>
      </c>
      <c r="U473" s="1"/>
    </row>
    <row r="474" spans="2:21" ht="13.2" x14ac:dyDescent="0.25">
      <c r="B474" s="125" t="str">
        <f>[2]Base!A474</f>
        <v>AES BRASIL</v>
      </c>
      <c r="C474" s="126" t="str">
        <f>[2]Base!C474</f>
        <v>NM</v>
      </c>
      <c r="D474" s="263" t="s">
        <v>126</v>
      </c>
      <c r="E474" s="263" t="str">
        <f>[2]Base!M474</f>
        <v>Bradesco BBI</v>
      </c>
      <c r="F474" s="126" t="str">
        <f>[2]Base!F474</f>
        <v>FOLLOW-ON</v>
      </c>
      <c r="G474" s="126" t="str">
        <f>[2]Base!G474</f>
        <v>ICVM 476</v>
      </c>
      <c r="H474" s="127">
        <f>[2]Base!X474</f>
        <v>44467</v>
      </c>
      <c r="I474" s="264">
        <f>[2]Base!W474</f>
        <v>12</v>
      </c>
      <c r="J474" s="265">
        <f>[2]Base!J474</f>
        <v>44469</v>
      </c>
      <c r="K474" s="266">
        <f>'[1]SITE (Imprensa)_PT'!K474</f>
        <v>2998</v>
      </c>
      <c r="L474" s="266">
        <f>[2]Base!DZ474</f>
        <v>3385</v>
      </c>
      <c r="M474" s="267">
        <f>[2]Base!AO474</f>
        <v>1116000000</v>
      </c>
      <c r="N474" s="267">
        <f>[2]Base!AP474</f>
        <v>0</v>
      </c>
      <c r="O474" s="267">
        <f>[2]Base!AQ474</f>
        <v>1116000000</v>
      </c>
      <c r="P474" s="266">
        <f>+[2]Base!ED474</f>
        <v>208683944.79973072</v>
      </c>
      <c r="Q474" s="268">
        <f>'[1]SITE (Imprensa)_PT'!P474</f>
        <v>1.1760795698924732E-2</v>
      </c>
      <c r="R474" s="269">
        <f>'[1]SITE (Imprensa)_PT'!Q474</f>
        <v>0.2841796451612903</v>
      </c>
      <c r="S474" s="269">
        <f>'[1]SITE (Imprensa)_PT'!R474</f>
        <v>0.19180716129032258</v>
      </c>
      <c r="T474" s="270">
        <f>'[1]SITE (Imprensa)_PT'!S474</f>
        <v>0.51225239784946242</v>
      </c>
      <c r="U474" s="1"/>
    </row>
    <row r="475" spans="2:21" ht="13.2" x14ac:dyDescent="0.25">
      <c r="B475" s="125" t="str">
        <f>[2]Base!A475</f>
        <v>TOTVS</v>
      </c>
      <c r="C475" s="126" t="str">
        <f>[2]Base!C475</f>
        <v>NM</v>
      </c>
      <c r="D475" s="263" t="s">
        <v>78</v>
      </c>
      <c r="E475" s="263" t="str">
        <f>[2]Base!M475</f>
        <v>BTG Pactual</v>
      </c>
      <c r="F475" s="126" t="str">
        <f>[2]Base!F475</f>
        <v>FOLLOW-ON</v>
      </c>
      <c r="G475" s="126" t="str">
        <f>[2]Base!G475</f>
        <v>ICVM 476</v>
      </c>
      <c r="H475" s="127">
        <f>[2]Base!X475</f>
        <v>44460</v>
      </c>
      <c r="I475" s="264">
        <f>[2]Base!W475</f>
        <v>36.75</v>
      </c>
      <c r="J475" s="265">
        <f>[2]Base!J475</f>
        <v>44462</v>
      </c>
      <c r="K475" s="266">
        <f>'[1]SITE (Imprensa)_PT'!K475</f>
        <v>0</v>
      </c>
      <c r="L475" s="266">
        <f>[2]Base!DZ475</f>
        <v>990</v>
      </c>
      <c r="M475" s="267">
        <f>[2]Base!AO475</f>
        <v>1443172500</v>
      </c>
      <c r="N475" s="267">
        <f>[2]Base!AP475</f>
        <v>0</v>
      </c>
      <c r="O475" s="267">
        <f>[2]Base!AQ475</f>
        <v>1443172500</v>
      </c>
      <c r="P475" s="266">
        <f>+[2]Base!ED475</f>
        <v>272857858.61488718</v>
      </c>
      <c r="Q475" s="268">
        <f>'[1]SITE (Imprensa)_PT'!P475</f>
        <v>0</v>
      </c>
      <c r="R475" s="269">
        <f>'[1]SITE (Imprensa)_PT'!Q475</f>
        <v>0.17988482302011713</v>
      </c>
      <c r="S475" s="269">
        <f>'[1]SITE (Imprensa)_PT'!R475</f>
        <v>0.41643386809269162</v>
      </c>
      <c r="T475" s="270">
        <f>'[1]SITE (Imprensa)_PT'!S475</f>
        <v>0.40368130888719123</v>
      </c>
      <c r="U475" s="1"/>
    </row>
    <row r="476" spans="2:21" ht="13.2" x14ac:dyDescent="0.25">
      <c r="B476" s="125" t="str">
        <f>[2]Base!A476</f>
        <v>VAMOS</v>
      </c>
      <c r="C476" s="126" t="str">
        <f>[2]Base!C476</f>
        <v>NM</v>
      </c>
      <c r="D476" s="263" t="s">
        <v>71</v>
      </c>
      <c r="E476" s="263" t="str">
        <f>[2]Base!M476</f>
        <v>BTG Pactual</v>
      </c>
      <c r="F476" s="126" t="str">
        <f>[2]Base!F476</f>
        <v>FOLLOW-ON</v>
      </c>
      <c r="G476" s="126" t="str">
        <f>[2]Base!G476</f>
        <v>ICVM 476</v>
      </c>
      <c r="H476" s="127">
        <f>[2]Base!X476</f>
        <v>44462</v>
      </c>
      <c r="I476" s="264">
        <f>[2]Base!W476</f>
        <v>16.75</v>
      </c>
      <c r="J476" s="265">
        <f>[2]Base!J476</f>
        <v>44466</v>
      </c>
      <c r="K476" s="266">
        <f>'[1]SITE (Imprensa)_PT'!K476</f>
        <v>0</v>
      </c>
      <c r="L476" s="266">
        <f>[2]Base!DZ476</f>
        <v>456</v>
      </c>
      <c r="M476" s="267">
        <f>[2]Base!AO476</f>
        <v>1098532167.5</v>
      </c>
      <c r="N476" s="267">
        <f>[2]Base!AP476</f>
        <v>0</v>
      </c>
      <c r="O476" s="267">
        <f>[2]Base!AQ476</f>
        <v>1098532167.5</v>
      </c>
      <c r="P476" s="266">
        <f>+[2]Base!ED476</f>
        <v>205417586.20367253</v>
      </c>
      <c r="Q476" s="268">
        <f>'[1]SITE (Imprensa)_PT'!P476</f>
        <v>5.031714285235075E-5</v>
      </c>
      <c r="R476" s="269">
        <f>'[1]SITE (Imprensa)_PT'!Q476</f>
        <v>0.55581297941373209</v>
      </c>
      <c r="S476" s="269">
        <f>'[1]SITE (Imprensa)_PT'!R476</f>
        <v>0.35680441009935199</v>
      </c>
      <c r="T476" s="270">
        <f>'[1]SITE (Imprensa)_PT'!S476</f>
        <v>8.7332293344063588E-2</v>
      </c>
      <c r="U476" s="1"/>
    </row>
    <row r="477" spans="2:21" ht="13.2" x14ac:dyDescent="0.25">
      <c r="B477" s="125" t="str">
        <f>[2]Base!A477</f>
        <v>PETZ</v>
      </c>
      <c r="C477" s="126" t="str">
        <f>[2]Base!C477</f>
        <v>NM</v>
      </c>
      <c r="D477" s="263" t="s">
        <v>140</v>
      </c>
      <c r="E477" s="263" t="str">
        <f>[2]Base!M477</f>
        <v>Itaú BBA</v>
      </c>
      <c r="F477" s="126" t="str">
        <f>[2]Base!F477</f>
        <v>FOLLOW-ON</v>
      </c>
      <c r="G477" s="126" t="str">
        <f>[2]Base!G477</f>
        <v>ICVM 476</v>
      </c>
      <c r="H477" s="127">
        <f>[2]Base!X477</f>
        <v>44518</v>
      </c>
      <c r="I477" s="264">
        <f>[2]Base!W477</f>
        <v>19</v>
      </c>
      <c r="J477" s="265">
        <f>[2]Base!J477</f>
        <v>44522</v>
      </c>
      <c r="K477" s="266">
        <f>'[1]SITE (Imprensa)_PT'!K477</f>
        <v>647</v>
      </c>
      <c r="L477" s="266">
        <f>[2]Base!DZ477</f>
        <v>1098</v>
      </c>
      <c r="M477" s="267">
        <f>[2]Base!AO477</f>
        <v>779000000</v>
      </c>
      <c r="N477" s="267">
        <f>[2]Base!AP477</f>
        <v>0</v>
      </c>
      <c r="O477" s="267">
        <f>[2]Base!AQ477</f>
        <v>779000000</v>
      </c>
      <c r="P477" s="266">
        <f>+[2]Base!ED477</f>
        <v>139503232.39197004</v>
      </c>
      <c r="Q477" s="268">
        <f>'[1]SITE (Imprensa)_PT'!P477</f>
        <v>1.8844146341463414E-3</v>
      </c>
      <c r="R477" s="269">
        <f>'[1]SITE (Imprensa)_PT'!Q477</f>
        <v>0.61019204878048783</v>
      </c>
      <c r="S477" s="269">
        <f>'[1]SITE (Imprensa)_PT'!R477</f>
        <v>0.38791826829268294</v>
      </c>
      <c r="T477" s="270">
        <f>'[1]SITE (Imprensa)_PT'!S477</f>
        <v>5.2682926829268289E-6</v>
      </c>
      <c r="U477" s="1"/>
    </row>
    <row r="478" spans="2:21" ht="13.2" x14ac:dyDescent="0.25">
      <c r="B478" s="125" t="str">
        <f>[2]Base!A478</f>
        <v>3R PETROLEUM</v>
      </c>
      <c r="C478" s="126" t="str">
        <f>[2]Base!C478</f>
        <v>NM</v>
      </c>
      <c r="D478" s="263" t="s">
        <v>139</v>
      </c>
      <c r="E478" s="263" t="str">
        <f>[2]Base!M478</f>
        <v>Itaú BBA</v>
      </c>
      <c r="F478" s="126" t="str">
        <f>[2]Base!F478</f>
        <v>FOLLOW-ON</v>
      </c>
      <c r="G478" s="126" t="str">
        <f>[2]Base!G478</f>
        <v>ICVM 476</v>
      </c>
      <c r="H478" s="127">
        <f>[2]Base!X478</f>
        <v>44504</v>
      </c>
      <c r="I478" s="264">
        <f>[2]Base!W478</f>
        <v>33</v>
      </c>
      <c r="J478" s="265">
        <f>[2]Base!J478</f>
        <v>44508</v>
      </c>
      <c r="K478" s="266">
        <f>'[1]SITE (Imprensa)_PT'!K478</f>
        <v>1041</v>
      </c>
      <c r="L478" s="266">
        <f>[2]Base!DZ478</f>
        <v>1553</v>
      </c>
      <c r="M478" s="267">
        <f>[2]Base!AO478</f>
        <v>2168100000</v>
      </c>
      <c r="N478" s="267">
        <f>[2]Base!AP478</f>
        <v>240900000</v>
      </c>
      <c r="O478" s="267">
        <f>[2]Base!AQ478</f>
        <v>2409000000</v>
      </c>
      <c r="P478" s="266">
        <f>+[2]Base!ED478</f>
        <v>433063080.87799084</v>
      </c>
      <c r="Q478" s="268">
        <f>'[1]SITE (Imprensa)_PT'!P478</f>
        <v>1.1275109589041096E-2</v>
      </c>
      <c r="R478" s="269">
        <f>'[1]SITE (Imprensa)_PT'!Q478</f>
        <v>0.81532327397260274</v>
      </c>
      <c r="S478" s="269">
        <f>'[1]SITE (Imprensa)_PT'!R478</f>
        <v>0.17070578082191781</v>
      </c>
      <c r="T478" s="270">
        <f>'[1]SITE (Imprensa)_PT'!S478</f>
        <v>2.6958356164383562E-3</v>
      </c>
      <c r="U478" s="1"/>
    </row>
    <row r="479" spans="2:21" ht="13.2" x14ac:dyDescent="0.25">
      <c r="B479" s="125" t="str">
        <f>[2]Base!A479</f>
        <v>NU-NUBANK</v>
      </c>
      <c r="C479" s="126" t="str">
        <f>[2]Base!C479</f>
        <v>BDR Patrocinado Nível 3</v>
      </c>
      <c r="D479" s="263" t="s">
        <v>154</v>
      </c>
      <c r="E479" s="263" t="str">
        <f>[2]Base!M479</f>
        <v>NuInvest Corretora de Valores S.A.</v>
      </c>
      <c r="F479" s="126" t="str">
        <f>[2]Base!F479</f>
        <v>IPO</v>
      </c>
      <c r="G479" s="126" t="str">
        <f>[2]Base!G479</f>
        <v>ICVM 400</v>
      </c>
      <c r="H479" s="127">
        <f>[2]Base!X479</f>
        <v>44538</v>
      </c>
      <c r="I479" s="264">
        <f>[2]Base!W479</f>
        <v>8.36</v>
      </c>
      <c r="J479" s="265">
        <f>[2]Base!J479</f>
        <v>44539</v>
      </c>
      <c r="K479" s="266">
        <f>'[1]SITE (Imprensa)_PT'!K479</f>
        <v>8373110</v>
      </c>
      <c r="L479" s="266">
        <f>[2]Base!DZ479</f>
        <v>8373110</v>
      </c>
      <c r="M479" s="267">
        <f>[2]Base!AO479</f>
        <v>405680536.79999995</v>
      </c>
      <c r="N479" s="267">
        <f>[2]Base!AP479</f>
        <v>0</v>
      </c>
      <c r="O479" s="267">
        <f>[2]Base!AQ479</f>
        <v>405680536.79999995</v>
      </c>
      <c r="P479" s="266">
        <f>+[2]Base!ED479</f>
        <v>73011398.891368508</v>
      </c>
      <c r="Q479" s="268">
        <f>'[1]SITE (Imprensa)_PT'!P479</f>
        <v>1</v>
      </c>
      <c r="R479" s="269">
        <f>'[1]SITE (Imprensa)_PT'!Q479</f>
        <v>0</v>
      </c>
      <c r="S479" s="269">
        <f>'[1]SITE (Imprensa)_PT'!R479</f>
        <v>0</v>
      </c>
      <c r="T479" s="270">
        <f>'[1]SITE (Imprensa)_PT'!S479</f>
        <v>0</v>
      </c>
      <c r="U479" s="1"/>
    </row>
    <row r="480" spans="2:21" ht="13.2" x14ac:dyDescent="0.25">
      <c r="B480" s="125" t="str">
        <f>[2]Base!A480</f>
        <v>BR PARTNERS</v>
      </c>
      <c r="C480" s="126" t="str">
        <f>[2]Base!C480</f>
        <v>N2</v>
      </c>
      <c r="D480" s="263" t="s">
        <v>154</v>
      </c>
      <c r="E480" s="263" t="str">
        <f>[2]Base!M480</f>
        <v>BTG Pactual</v>
      </c>
      <c r="F480" s="126" t="str">
        <f>[2]Base!F480</f>
        <v>FOLLOW-ON</v>
      </c>
      <c r="G480" s="126" t="str">
        <f>[2]Base!G480</f>
        <v>ICVM 400</v>
      </c>
      <c r="H480" s="127">
        <f>[2]Base!X480</f>
        <v>44586</v>
      </c>
      <c r="I480" s="264">
        <f>[2]Base!W480</f>
        <v>16.5</v>
      </c>
      <c r="J480" s="265">
        <f>[2]Base!J480</f>
        <v>44588</v>
      </c>
      <c r="K480" s="266">
        <f>'[1]SITE (Imprensa)_PT'!K480</f>
        <v>258</v>
      </c>
      <c r="L480" s="266">
        <f>[2]Base!DZ480</f>
        <v>265</v>
      </c>
      <c r="M480" s="267">
        <f>[2]Base!AO480</f>
        <v>5697516</v>
      </c>
      <c r="N480" s="267">
        <f>[2]Base!AP480</f>
        <v>0</v>
      </c>
      <c r="O480" s="267">
        <f>[2]Base!AQ480</f>
        <v>5697516</v>
      </c>
      <c r="P480" s="266">
        <f>+[2]Base!ED480</f>
        <v>1059017.8438661711</v>
      </c>
      <c r="Q480" s="268">
        <f>'[1]SITE (Imprensa)_PT'!P480</f>
        <v>0.82197426036188403</v>
      </c>
      <c r="R480" s="269">
        <f>'[1]SITE (Imprensa)_PT'!Q480</f>
        <v>0.14994034242290852</v>
      </c>
      <c r="S480" s="269">
        <f>'[1]SITE (Imprensa)_PT'!R480</f>
        <v>0</v>
      </c>
      <c r="T480" s="270">
        <f>'[1]SITE (Imprensa)_PT'!S480</f>
        <v>2.8085397215207468E-2</v>
      </c>
      <c r="U480" s="1"/>
    </row>
    <row r="481" spans="2:21" ht="13.2" x14ac:dyDescent="0.25">
      <c r="B481" s="125" t="str">
        <f>[2]Base!A481</f>
        <v>ALPAGARTAS</v>
      </c>
      <c r="C481" s="126" t="str">
        <f>[2]Base!C481</f>
        <v>N1</v>
      </c>
      <c r="D481" s="263" t="s">
        <v>61</v>
      </c>
      <c r="E481" s="263" t="str">
        <f>[2]Base!M481</f>
        <v>Itaú BBA</v>
      </c>
      <c r="F481" s="126" t="str">
        <f>[2]Base!F481</f>
        <v>FOLLOW-ON</v>
      </c>
      <c r="G481" s="126" t="str">
        <f>[2]Base!G481</f>
        <v>ICVM 476</v>
      </c>
      <c r="H481" s="127">
        <f>[2]Base!X481</f>
        <v>44614</v>
      </c>
      <c r="I481" s="264">
        <f>[2]Base!W481</f>
        <v>26.3</v>
      </c>
      <c r="J481" s="265">
        <f>[2]Base!J481</f>
        <v>44616</v>
      </c>
      <c r="K481" s="266">
        <f>'[1]SITE (Imprensa)_PT'!K481</f>
        <v>16</v>
      </c>
      <c r="L481" s="266">
        <f>[2]Base!DZ481</f>
        <v>22</v>
      </c>
      <c r="M481" s="267">
        <f>[2]Base!AO481</f>
        <v>2498500000</v>
      </c>
      <c r="N481" s="267">
        <f>[2]Base!AP481</f>
        <v>0</v>
      </c>
      <c r="O481" s="267">
        <f>[2]Base!AQ481</f>
        <v>2498500000</v>
      </c>
      <c r="P481" s="266">
        <f>+[2]Base!ED481</f>
        <v>488236213.70227069</v>
      </c>
      <c r="Q481" s="268">
        <f>'[1]SITE (Imprensa)_PT'!P481</f>
        <v>6.7936842105263161E-5</v>
      </c>
      <c r="R481" s="269">
        <f>'[1]SITE (Imprensa)_PT'!Q481</f>
        <v>0</v>
      </c>
      <c r="S481" s="269">
        <f>'[1]SITE (Imprensa)_PT'!R481</f>
        <v>0</v>
      </c>
      <c r="T481" s="270">
        <f>'[1]SITE (Imprensa)_PT'!S481</f>
        <v>0.3946689052631579</v>
      </c>
      <c r="U481" s="1"/>
    </row>
    <row r="482" spans="2:21" ht="13.2" x14ac:dyDescent="0.25">
      <c r="B482" s="125" t="s">
        <v>27</v>
      </c>
      <c r="C482" s="126" t="str">
        <f>[2]Base!C482</f>
        <v>NM</v>
      </c>
      <c r="D482" s="263" t="s">
        <v>155</v>
      </c>
      <c r="E482" s="263" t="str">
        <f>[2]Base!M482</f>
        <v>Citi</v>
      </c>
      <c r="F482" s="126" t="str">
        <f>[2]Base!F482</f>
        <v>FOLLOW-ON</v>
      </c>
      <c r="G482" s="126" t="str">
        <f>[2]Base!G482</f>
        <v>ICVM 476</v>
      </c>
      <c r="H482" s="127">
        <f>[2]Base!X482</f>
        <v>44593</v>
      </c>
      <c r="I482" s="264">
        <f>[2]Base!W482</f>
        <v>20</v>
      </c>
      <c r="J482" s="265">
        <f>[2]Base!J482</f>
        <v>44595</v>
      </c>
      <c r="K482" s="266">
        <f>'[1]SITE (Imprensa)_PT'!K482</f>
        <v>0</v>
      </c>
      <c r="L482" s="266">
        <f>[2]Base!DZ482</f>
        <v>160</v>
      </c>
      <c r="M482" s="267">
        <f>[2]Base!AO482</f>
        <v>5400000000</v>
      </c>
      <c r="N482" s="267">
        <f>[2]Base!AP482</f>
        <v>0</v>
      </c>
      <c r="O482" s="267">
        <f>[2]Base!AQ482</f>
        <v>5400000000</v>
      </c>
      <c r="P482" s="266">
        <f>+[2]Base!ED482</f>
        <v>1018387553.0410184</v>
      </c>
      <c r="Q482" s="268">
        <f>'[1]SITE (Imprensa)_PT'!P482</f>
        <v>1.0206333333333333E-3</v>
      </c>
      <c r="R482" s="269">
        <f>'[1]SITE (Imprensa)_PT'!Q482</f>
        <v>9.5917377777777771E-2</v>
      </c>
      <c r="S482" s="269">
        <f>'[1]SITE (Imprensa)_PT'!R482</f>
        <v>0.28559843333333335</v>
      </c>
      <c r="T482" s="270">
        <f>'[1]SITE (Imprensa)_PT'!S482</f>
        <v>3.7037037037037038E-3</v>
      </c>
      <c r="U482" s="1"/>
    </row>
    <row r="483" spans="2:21" ht="13.2" x14ac:dyDescent="0.25">
      <c r="B483" s="125" t="str">
        <f>[2]Base!A483</f>
        <v>AREZZO CO</v>
      </c>
      <c r="C483" s="126" t="str">
        <f>[2]Base!C483</f>
        <v>NM</v>
      </c>
      <c r="D483" s="263" t="s">
        <v>156</v>
      </c>
      <c r="E483" s="263" t="str">
        <f>[2]Base!M483</f>
        <v>Itaú BBA</v>
      </c>
      <c r="F483" s="126" t="str">
        <f>[2]Base!F483</f>
        <v>FOLLOW-ON</v>
      </c>
      <c r="G483" s="126" t="str">
        <f>[2]Base!G483</f>
        <v>ICVM 476</v>
      </c>
      <c r="H483" s="127">
        <f>[2]Base!X483</f>
        <v>44595</v>
      </c>
      <c r="I483" s="264">
        <f>[2]Base!W483</f>
        <v>82.35</v>
      </c>
      <c r="J483" s="265">
        <f>[2]Base!J483</f>
        <v>44599</v>
      </c>
      <c r="K483" s="266">
        <f>'[1]SITE (Imprensa)_PT'!K483</f>
        <v>151</v>
      </c>
      <c r="L483" s="266">
        <f>[2]Base!DZ483</f>
        <v>699</v>
      </c>
      <c r="M483" s="267">
        <f>[2]Base!AO483</f>
        <v>833793750</v>
      </c>
      <c r="N483" s="267">
        <f>[2]Base!AP483</f>
        <v>0</v>
      </c>
      <c r="O483" s="267">
        <f>[2]Base!AQ483</f>
        <v>833793750</v>
      </c>
      <c r="P483" s="266">
        <f>+[2]Base!ED483</f>
        <v>157578241.64194056</v>
      </c>
      <c r="Q483" s="268">
        <f>'[1]SITE (Imprensa)_PT'!P483</f>
        <v>1.3310617283950616E-3</v>
      </c>
      <c r="R483" s="269">
        <f>'[1]SITE (Imprensa)_PT'!Q483</f>
        <v>0.63660641975308629</v>
      </c>
      <c r="S483" s="269">
        <f>'[1]SITE (Imprensa)_PT'!R483</f>
        <v>0.36206251851851845</v>
      </c>
      <c r="T483" s="270">
        <f>'[1]SITE (Imprensa)_PT'!S483</f>
        <v>0</v>
      </c>
      <c r="U483" s="1"/>
    </row>
    <row r="484" spans="2:21" ht="13.2" x14ac:dyDescent="0.25">
      <c r="B484" s="125" t="str">
        <f>[2]Base!A484</f>
        <v>EQUATORIAL</v>
      </c>
      <c r="C484" s="126" t="str">
        <f>[2]Base!C484</f>
        <v>NM</v>
      </c>
      <c r="D484" s="19" t="s">
        <v>60</v>
      </c>
      <c r="E484" s="263" t="str">
        <f>[2]Base!M484</f>
        <v>Credit Suisse</v>
      </c>
      <c r="F484" s="126" t="str">
        <f>[2]Base!F484</f>
        <v>FOLLOW-ON</v>
      </c>
      <c r="G484" s="126" t="str">
        <f>[2]Base!G484</f>
        <v>ICVM 476</v>
      </c>
      <c r="H484" s="127">
        <f>[2]Base!X484</f>
        <v>44600</v>
      </c>
      <c r="I484" s="264">
        <f>[2]Base!W484</f>
        <v>23.5</v>
      </c>
      <c r="J484" s="265">
        <f>[2]Base!J484</f>
        <v>44602</v>
      </c>
      <c r="K484" s="266">
        <f>'[1]SITE (Imprensa)_PT'!K484</f>
        <v>379</v>
      </c>
      <c r="L484" s="266">
        <f>[2]Base!DZ484</f>
        <v>1119</v>
      </c>
      <c r="M484" s="267">
        <f>[2]Base!AO484</f>
        <v>2782282500</v>
      </c>
      <c r="N484" s="267">
        <f>[2]Base!AP484</f>
        <v>0</v>
      </c>
      <c r="O484" s="267">
        <f>[2]Base!AQ484</f>
        <v>2782282500</v>
      </c>
      <c r="P484" s="266">
        <f>+[2]Base!ED484</f>
        <v>534017101.39920545</v>
      </c>
      <c r="Q484" s="268">
        <f>'[1]SITE (Imprensa)_PT'!P484</f>
        <v>2.0494446556020103E-3</v>
      </c>
      <c r="R484" s="269">
        <f>'[1]SITE (Imprensa)_PT'!Q484</f>
        <v>0.51389472528400693</v>
      </c>
      <c r="S484" s="269">
        <f>'[1]SITE (Imprensa)_PT'!R484</f>
        <v>0.42685947886312764</v>
      </c>
      <c r="T484" s="270">
        <f>'[1]SITE (Imprensa)_PT'!S484</f>
        <v>5.71963511972634E-2</v>
      </c>
      <c r="U484" s="1"/>
    </row>
    <row r="485" spans="2:21" ht="13.2" x14ac:dyDescent="0.25">
      <c r="B485" s="125" t="str">
        <f>[2]Base!A485</f>
        <v>3TENTOS</v>
      </c>
      <c r="C485" s="126" t="str">
        <f>[2]Base!C485</f>
        <v>NM</v>
      </c>
      <c r="D485" s="263" t="s">
        <v>101</v>
      </c>
      <c r="E485" s="263" t="str">
        <f>[2]Base!M485</f>
        <v>BTG Pactual</v>
      </c>
      <c r="F485" s="126" t="str">
        <f>[2]Base!F485</f>
        <v>FOLLOW-ON</v>
      </c>
      <c r="G485" s="126" t="str">
        <f>[2]Base!G485</f>
        <v>ICVM 400</v>
      </c>
      <c r="H485" s="127">
        <f>[2]Base!X485</f>
        <v>44592</v>
      </c>
      <c r="I485" s="264">
        <f>[2]Base!W485</f>
        <v>9.6</v>
      </c>
      <c r="J485" s="265">
        <f>[2]Base!J485</f>
        <v>44594</v>
      </c>
      <c r="K485" s="266">
        <f>'[1]SITE (Imprensa)_PT'!K485</f>
        <v>92</v>
      </c>
      <c r="L485" s="266">
        <f>[2]Base!DZ485</f>
        <v>127</v>
      </c>
      <c r="M485" s="267">
        <f>[2]Base!AO485</f>
        <v>4800000</v>
      </c>
      <c r="N485" s="267">
        <f>[2]Base!AP485</f>
        <v>0</v>
      </c>
      <c r="O485" s="267">
        <f>[2]Base!AQ485</f>
        <v>4800000</v>
      </c>
      <c r="P485" s="266">
        <f>+[2]Base!ED485</f>
        <v>906412.87106276909</v>
      </c>
      <c r="Q485" s="268">
        <f>'[1]SITE (Imprensa)_PT'!P485</f>
        <v>0.31307799999999997</v>
      </c>
      <c r="R485" s="269">
        <f>'[1]SITE (Imprensa)_PT'!Q485</f>
        <v>0.320932</v>
      </c>
      <c r="S485" s="269">
        <f>'[1]SITE (Imprensa)_PT'!R485</f>
        <v>1.054E-3</v>
      </c>
      <c r="T485" s="270">
        <f>'[1]SITE (Imprensa)_PT'!S485</f>
        <v>0.36493599999999998</v>
      </c>
      <c r="U485" s="1"/>
    </row>
    <row r="486" spans="2:21" ht="13.2" x14ac:dyDescent="0.25">
      <c r="B486" s="125" t="str">
        <f>[2]Base!A486</f>
        <v>WDC NETWORKS</v>
      </c>
      <c r="C486" s="126" t="str">
        <f>[2]Base!C486</f>
        <v>NM</v>
      </c>
      <c r="D486" s="263" t="s">
        <v>141</v>
      </c>
      <c r="E486" s="263" t="str">
        <f>[2]Base!M486</f>
        <v>BTG Pactual</v>
      </c>
      <c r="F486" s="126" t="str">
        <f>[2]Base!F486</f>
        <v>FOLLOW-ON</v>
      </c>
      <c r="G486" s="126" t="str">
        <f>[2]Base!G486</f>
        <v>ICVM 400</v>
      </c>
      <c r="H486" s="127">
        <f>[2]Base!X486</f>
        <v>44603</v>
      </c>
      <c r="I486" s="264">
        <f>[2]Base!W486</f>
        <v>13.75</v>
      </c>
      <c r="J486" s="265">
        <f>[2]Base!J486</f>
        <v>44606</v>
      </c>
      <c r="K486" s="266">
        <f>'[1]SITE (Imprensa)_PT'!K486</f>
        <v>109</v>
      </c>
      <c r="L486" s="266">
        <f>[2]Base!DZ486</f>
        <v>129</v>
      </c>
      <c r="M486" s="267">
        <f>[2]Base!AO486</f>
        <v>4592527.5</v>
      </c>
      <c r="N486" s="267">
        <f>[2]Base!AP486</f>
        <v>0</v>
      </c>
      <c r="O486" s="267">
        <f>[2]Base!AQ486</f>
        <v>4592527.5</v>
      </c>
      <c r="P486" s="266">
        <f>+[2]Base!ED486</f>
        <v>881381.70268299233</v>
      </c>
      <c r="Q486" s="268">
        <f>'[1]SITE (Imprensa)_PT'!P486</f>
        <v>0.36853970934305785</v>
      </c>
      <c r="R486" s="269">
        <f>'[1]SITE (Imprensa)_PT'!Q486</f>
        <v>0.54437099179046833</v>
      </c>
      <c r="S486" s="269">
        <f>'[1]SITE (Imprensa)_PT'!R486</f>
        <v>0</v>
      </c>
      <c r="T486" s="270">
        <f>'[1]SITE (Imprensa)_PT'!S486</f>
        <v>8.7089298866473847E-2</v>
      </c>
      <c r="U486" s="1"/>
    </row>
    <row r="487" spans="2:21" ht="13.2" x14ac:dyDescent="0.25">
      <c r="B487" s="125" t="str">
        <f>[2]Base!A487</f>
        <v>ALLIED</v>
      </c>
      <c r="C487" s="126" t="str">
        <f>[2]Base!C487</f>
        <v>NM</v>
      </c>
      <c r="D487" s="263" t="s">
        <v>120</v>
      </c>
      <c r="E487" s="263" t="str">
        <f>[2]Base!M487</f>
        <v>BTG Pactual</v>
      </c>
      <c r="F487" s="126" t="str">
        <f>[2]Base!F487</f>
        <v>FOLLOW-ON</v>
      </c>
      <c r="G487" s="126" t="str">
        <f>[2]Base!G487</f>
        <v>ICVM 400</v>
      </c>
      <c r="H487" s="127">
        <f>[2]Base!X487</f>
        <v>44624</v>
      </c>
      <c r="I487" s="264">
        <f>[2]Base!W487</f>
        <v>14</v>
      </c>
      <c r="J487" s="265">
        <f>[2]Base!J487</f>
        <v>44648</v>
      </c>
      <c r="K487" s="266">
        <f>'[1]SITE (Imprensa)_PT'!K487</f>
        <v>47</v>
      </c>
      <c r="L487" s="266">
        <f>[2]Base!DZ487</f>
        <v>73</v>
      </c>
      <c r="M487" s="267">
        <f>[2]Base!AO487</f>
        <v>0</v>
      </c>
      <c r="N487" s="267">
        <f>[2]Base!AP487</f>
        <v>6412196</v>
      </c>
      <c r="O487" s="267">
        <f>[2]Base!AQ487</f>
        <v>6412196</v>
      </c>
      <c r="P487" s="266">
        <f>+[2]Base!ED487</f>
        <v>1338523.3274188498</v>
      </c>
      <c r="Q487" s="268">
        <f>'[1]SITE (Imprensa)_PT'!P487</f>
        <v>0.16275921696716694</v>
      </c>
      <c r="R487" s="269">
        <f>'[1]SITE (Imprensa)_PT'!Q487</f>
        <v>0.83537184452876989</v>
      </c>
      <c r="S487" s="269">
        <f>'[1]SITE (Imprensa)_PT'!R487</f>
        <v>0</v>
      </c>
      <c r="T487" s="270">
        <f>'[1]SITE (Imprensa)_PT'!S487</f>
        <v>1.8689385040631945E-3</v>
      </c>
      <c r="U487" s="1"/>
    </row>
    <row r="488" spans="2:21" ht="13.2" x14ac:dyDescent="0.25">
      <c r="B488" s="125" t="str">
        <f>[2]Base!A488</f>
        <v>FRAS-LE</v>
      </c>
      <c r="C488" s="126" t="str">
        <f>[2]Base!C488</f>
        <v>N1</v>
      </c>
      <c r="D488" s="263" t="s">
        <v>130</v>
      </c>
      <c r="E488" s="263" t="str">
        <f>[2]Base!M488</f>
        <v>Itaú BBA</v>
      </c>
      <c r="F488" s="126" t="str">
        <f>[2]Base!F488</f>
        <v>FOLLOW-ON</v>
      </c>
      <c r="G488" s="126" t="str">
        <f>[2]Base!G488</f>
        <v>ICVM 476</v>
      </c>
      <c r="H488" s="127">
        <f>[2]Base!X488</f>
        <v>44658</v>
      </c>
      <c r="I488" s="264">
        <f>[2]Base!W488</f>
        <v>12</v>
      </c>
      <c r="J488" s="265">
        <f>[2]Base!J488</f>
        <v>44662</v>
      </c>
      <c r="K488" s="266">
        <f>'[1]SITE (Imprensa)_PT'!K488</f>
        <v>132</v>
      </c>
      <c r="L488" s="266">
        <f>[2]Base!DZ488</f>
        <v>208</v>
      </c>
      <c r="M488" s="267">
        <f>[2]Base!AO488</f>
        <v>629400000</v>
      </c>
      <c r="N488" s="267">
        <f>[2]Base!AP488</f>
        <v>0</v>
      </c>
      <c r="O488" s="267">
        <f>[2]Base!AQ488</f>
        <v>629400000</v>
      </c>
      <c r="P488" s="266">
        <f>+[2]Base!ED488</f>
        <v>133843700.15948965</v>
      </c>
      <c r="Q488" s="268">
        <f>'[1]SITE (Imprensa)_PT'!P488</f>
        <v>2.6287702573879884E-3</v>
      </c>
      <c r="R488" s="269">
        <f>'[1]SITE (Imprensa)_PT'!Q488</f>
        <v>0.18319521448999046</v>
      </c>
      <c r="S488" s="269">
        <f>'[1]SITE (Imprensa)_PT'!R488</f>
        <v>7.0974318398474734E-2</v>
      </c>
      <c r="T488" s="270">
        <f>'[1]SITE (Imprensa)_PT'!S488</f>
        <v>0.74320169685414683</v>
      </c>
      <c r="U488" s="1"/>
    </row>
    <row r="489" spans="2:21" ht="13.2" x14ac:dyDescent="0.25">
      <c r="B489" s="125" t="str">
        <f>[2]Base!A489</f>
        <v>CBA</v>
      </c>
      <c r="C489" s="126" t="str">
        <f>[2]Base!C489</f>
        <v>NM</v>
      </c>
      <c r="D489" s="263" t="s">
        <v>147</v>
      </c>
      <c r="E489" s="263" t="str">
        <f>[2]Base!M489</f>
        <v>BTG Pactual</v>
      </c>
      <c r="F489" s="126" t="str">
        <f>[2]Base!F489</f>
        <v>FOLLOW-ON</v>
      </c>
      <c r="G489" s="126" t="str">
        <f>[2]Base!G489</f>
        <v>ICVM 476</v>
      </c>
      <c r="H489" s="127">
        <f>[2]Base!X489</f>
        <v>44657</v>
      </c>
      <c r="I489" s="264">
        <f>[2]Base!W489</f>
        <v>19</v>
      </c>
      <c r="J489" s="265">
        <f>[2]Base!J489</f>
        <v>44659</v>
      </c>
      <c r="K489" s="266">
        <f>'[1]SITE (Imprensa)_PT'!K489</f>
        <v>3</v>
      </c>
      <c r="L489" s="266">
        <f>[2]Base!DZ489</f>
        <v>226</v>
      </c>
      <c r="M489" s="267">
        <f>[2]Base!AO489</f>
        <v>0</v>
      </c>
      <c r="N489" s="267">
        <f>[2]Base!AP489</f>
        <v>904400000</v>
      </c>
      <c r="O489" s="267">
        <f>[2]Base!AQ489</f>
        <v>904400000</v>
      </c>
      <c r="P489" s="266">
        <f>+[2]Base!ED489</f>
        <v>190347904.78395388</v>
      </c>
      <c r="Q489" s="268">
        <f>'[1]SITE (Imprensa)_PT'!P489</f>
        <v>4.2846638655462182E-4</v>
      </c>
      <c r="R489" s="269">
        <f>'[1]SITE (Imprensa)_PT'!Q489</f>
        <v>0.58890892857142862</v>
      </c>
      <c r="S489" s="269">
        <f>'[1]SITE (Imprensa)_PT'!R489</f>
        <v>0.41066260504201679</v>
      </c>
      <c r="T489" s="270">
        <f>'[1]SITE (Imprensa)_PT'!S489</f>
        <v>0</v>
      </c>
      <c r="U489" s="1"/>
    </row>
    <row r="490" spans="2:21" ht="13.2" x14ac:dyDescent="0.25">
      <c r="B490" s="125" t="str">
        <f>[2]Base!A490</f>
        <v>ENEVA</v>
      </c>
      <c r="C490" s="126" t="str">
        <f>[2]Base!C490</f>
        <v>NM</v>
      </c>
      <c r="D490" s="263" t="s">
        <v>126</v>
      </c>
      <c r="E490" s="263" t="str">
        <f>[2]Base!M490</f>
        <v>Bank of America, BTG Pactual</v>
      </c>
      <c r="F490" s="126" t="str">
        <f>[2]Base!F490</f>
        <v>FOLLOW-ON</v>
      </c>
      <c r="G490" s="126" t="str">
        <f>[2]Base!G490</f>
        <v>ICVM 476</v>
      </c>
      <c r="H490" s="127">
        <f>[2]Base!X490</f>
        <v>44735</v>
      </c>
      <c r="I490" s="264">
        <f>[2]Base!W490</f>
        <v>14</v>
      </c>
      <c r="J490" s="265">
        <f>[2]Base!J490</f>
        <v>44740</v>
      </c>
      <c r="K490" s="266">
        <f>'[1]SITE (Imprensa)_PT'!K490</f>
        <v>0</v>
      </c>
      <c r="L490" s="266">
        <f>[2]Base!DZ490</f>
        <v>906</v>
      </c>
      <c r="M490" s="267">
        <f>[2]Base!AO490</f>
        <v>4200000000</v>
      </c>
      <c r="N490" s="267">
        <f>[2]Base!AP490</f>
        <v>0</v>
      </c>
      <c r="O490" s="267">
        <f>[2]Base!AQ490</f>
        <v>4200000000</v>
      </c>
      <c r="P490" s="266">
        <f>+[2]Base!ED490</f>
        <v>804921520.15178514</v>
      </c>
      <c r="Q490" s="268">
        <f>'[1]SITE (Imprensa)_PT'!P490</f>
        <v>0</v>
      </c>
      <c r="R490" s="269">
        <f>'[1]SITE (Imprensa)_PT'!Q490</f>
        <v>0.14343439999999999</v>
      </c>
      <c r="S490" s="269">
        <f>'[1]SITE (Imprensa)_PT'!R490</f>
        <v>5.1387106666666668E-2</v>
      </c>
      <c r="T490" s="270">
        <f>'[1]SITE (Imprensa)_PT'!S490</f>
        <v>0.80517849333333336</v>
      </c>
      <c r="U490" s="1"/>
    </row>
    <row r="491" spans="2:21" ht="13.2" x14ac:dyDescent="0.25">
      <c r="B491" s="125" t="str">
        <f>[2]Base!A491</f>
        <v>ELETROBRAS</v>
      </c>
      <c r="C491" s="126" t="str">
        <f>[2]Base!C491</f>
        <v>N1</v>
      </c>
      <c r="D491" s="263" t="s">
        <v>126</v>
      </c>
      <c r="E491" s="263" t="str">
        <f>[2]Base!M491</f>
        <v>BTG Pactual</v>
      </c>
      <c r="F491" s="126" t="str">
        <f>[2]Base!F491</f>
        <v>FOLLOW-ON</v>
      </c>
      <c r="G491" s="126" t="str">
        <f>[2]Base!G491</f>
        <v>ICVM 400</v>
      </c>
      <c r="H491" s="127">
        <f>[2]Base!X491</f>
        <v>44721</v>
      </c>
      <c r="I491" s="264">
        <f>[2]Base!W491</f>
        <v>42</v>
      </c>
      <c r="J491" s="265">
        <f>[2]Base!J491</f>
        <v>44725</v>
      </c>
      <c r="K491" s="266">
        <f>'[1]SITE (Imprensa)_PT'!K491</f>
        <v>32573</v>
      </c>
      <c r="L491" s="266">
        <f>[2]Base!DZ491</f>
        <v>34759</v>
      </c>
      <c r="M491" s="267">
        <f>[2]Base!AO491</f>
        <v>30756468456</v>
      </c>
      <c r="N491" s="267">
        <f>[2]Base!AP491</f>
        <v>2931663672</v>
      </c>
      <c r="O491" s="267">
        <f>[2]Base!AQ491</f>
        <v>33688132128</v>
      </c>
      <c r="P491" s="266">
        <f>+[2]Base!ED491</f>
        <v>6601244709.8935986</v>
      </c>
      <c r="Q491" s="268">
        <f>'[1]SITE (Imprensa)_PT'!P491</f>
        <v>9.425949173836011E-2</v>
      </c>
      <c r="R491" s="269">
        <f>'[1]SITE (Imprensa)_PT'!Q491</f>
        <v>0.5553667690720594</v>
      </c>
      <c r="S491" s="269">
        <f>'[1]SITE (Imprensa)_PT'!R491</f>
        <v>0.32510708436983959</v>
      </c>
      <c r="T491" s="270">
        <f>'[1]SITE (Imprensa)_PT'!S491</f>
        <v>1.3069771999440906E-2</v>
      </c>
      <c r="U491" s="1"/>
    </row>
    <row r="492" spans="2:21" ht="13.2" x14ac:dyDescent="0.25">
      <c r="B492" s="125" t="str">
        <f>[2]Base!A492</f>
        <v>PETRORECSA</v>
      </c>
      <c r="C492" s="126" t="str">
        <f>[2]Base!C492</f>
        <v>NM</v>
      </c>
      <c r="D492" s="263" t="s">
        <v>139</v>
      </c>
      <c r="E492" s="263" t="str">
        <f>[2]Base!M492</f>
        <v>Itaú BBA</v>
      </c>
      <c r="F492" s="126" t="str">
        <f>[2]Base!F492</f>
        <v>FOLLOW-ON</v>
      </c>
      <c r="G492" s="126" t="str">
        <f>[2]Base!G492</f>
        <v>ICVM 476</v>
      </c>
      <c r="H492" s="127">
        <f>[2]Base!X492</f>
        <v>44726</v>
      </c>
      <c r="I492" s="264">
        <f>[2]Base!W492</f>
        <v>23.5</v>
      </c>
      <c r="J492" s="265">
        <f>[2]Base!J492</f>
        <v>44729</v>
      </c>
      <c r="K492" s="266">
        <f>'[1]SITE (Imprensa)_PT'!K492</f>
        <v>101</v>
      </c>
      <c r="L492" s="266">
        <f>[2]Base!DZ492</f>
        <v>506</v>
      </c>
      <c r="M492" s="267">
        <f>[2]Base!AO492</f>
        <v>1034000000</v>
      </c>
      <c r="N492" s="267">
        <f>[2]Base!AP492</f>
        <v>0</v>
      </c>
      <c r="O492" s="267">
        <f>[2]Base!AQ492</f>
        <v>1034000000</v>
      </c>
      <c r="P492" s="266">
        <f>+[2]Base!ED492</f>
        <v>201508389.68682399</v>
      </c>
      <c r="Q492" s="268">
        <f>'[1]SITE (Imprensa)_PT'!P492</f>
        <v>2.3772727272727274E-3</v>
      </c>
      <c r="R492" s="269">
        <f>'[1]SITE (Imprensa)_PT'!Q492</f>
        <v>0.83216015909090912</v>
      </c>
      <c r="S492" s="269">
        <f>'[1]SITE (Imprensa)_PT'!R492</f>
        <v>7.6363636363636364E-6</v>
      </c>
      <c r="T492" s="270">
        <f>'[1]SITE (Imprensa)_PT'!S492</f>
        <v>0</v>
      </c>
      <c r="U492" s="1"/>
    </row>
    <row r="493" spans="2:21" ht="13.8" thickBot="1" x14ac:dyDescent="0.3">
      <c r="B493" s="146" t="str">
        <f>[2]Base!A493</f>
        <v>CVC BRASIL</v>
      </c>
      <c r="C493" s="147" t="str">
        <f>[2]Base!C493</f>
        <v>NM</v>
      </c>
      <c r="D493" s="271" t="s">
        <v>127</v>
      </c>
      <c r="E493" s="271" t="str">
        <f>[2]Base!M493</f>
        <v>Citi</v>
      </c>
      <c r="F493" s="147" t="str">
        <f>[2]Base!F493</f>
        <v>FOLLOW-ON</v>
      </c>
      <c r="G493" s="147" t="str">
        <f>[2]Base!G493</f>
        <v>ICVM 476</v>
      </c>
      <c r="H493" s="148">
        <f>[2]Base!X493</f>
        <v>44735</v>
      </c>
      <c r="I493" s="272">
        <f>[2]Base!W493</f>
        <v>7.7</v>
      </c>
      <c r="J493" s="273">
        <f>[2]Base!J493</f>
        <v>44739</v>
      </c>
      <c r="K493" s="274">
        <f>'[1]SITE (Imprensa)_PT'!K493</f>
        <v>800</v>
      </c>
      <c r="L493" s="274">
        <f>[2]Base!DZ493</f>
        <v>1046</v>
      </c>
      <c r="M493" s="275">
        <f>[2]Base!AO493</f>
        <v>402806250</v>
      </c>
      <c r="N493" s="275">
        <f>[2]Base!AP493</f>
        <v>0</v>
      </c>
      <c r="O493" s="275">
        <f>[2]Base!AQ493</f>
        <v>402806250</v>
      </c>
      <c r="P493" s="274">
        <f>+[2]Base!ED493</f>
        <v>77145257.976787835</v>
      </c>
      <c r="Q493" s="276">
        <f>'[1]SITE (Imprensa)_PT'!P493</f>
        <v>9.4403632019115901E-3</v>
      </c>
      <c r="R493" s="277">
        <f>'[1]SITE (Imprensa)_PT'!Q493</f>
        <v>0.47047118757467149</v>
      </c>
      <c r="S493" s="277">
        <f>'[1]SITE (Imprensa)_PT'!R493</f>
        <v>0.51550623655913974</v>
      </c>
      <c r="T493" s="278">
        <f>'[1]SITE (Imprensa)_PT'!S493</f>
        <v>4.5822126642771806E-3</v>
      </c>
      <c r="U493" s="1"/>
    </row>
    <row r="494" spans="2:21" thickTop="1" thickBot="1" x14ac:dyDescent="0.3">
      <c r="B494" s="146" t="str">
        <f>[2]Base!A494</f>
        <v>IRBBRASIL RE</v>
      </c>
      <c r="C494" s="147" t="str">
        <f>[2]Base!C494</f>
        <v>NM</v>
      </c>
      <c r="D494" s="271" t="s">
        <v>157</v>
      </c>
      <c r="E494" s="271" t="str">
        <f>[2]Base!M494</f>
        <v>Bradesco BBI</v>
      </c>
      <c r="F494" s="147" t="str">
        <f>[2]Base!F494</f>
        <v>FOLLOW-ON</v>
      </c>
      <c r="G494" s="147" t="str">
        <f>[2]Base!G494</f>
        <v>ICVM 476</v>
      </c>
      <c r="H494" s="148">
        <f>[2]Base!X494</f>
        <v>44805</v>
      </c>
      <c r="I494" s="272">
        <f>[2]Base!W494</f>
        <v>1</v>
      </c>
      <c r="J494" s="273">
        <f>[2]Base!J494</f>
        <v>44809</v>
      </c>
      <c r="K494" s="274">
        <f>'[1]SITE (Imprensa)_PT'!K494</f>
        <v>9476</v>
      </c>
      <c r="L494" s="274">
        <f>[2]Base!DZ494</f>
        <v>10650</v>
      </c>
      <c r="M494" s="275">
        <f>[2]Base!AO494</f>
        <v>1200000000</v>
      </c>
      <c r="N494" s="275">
        <f>[2]Base!AP494</f>
        <v>0</v>
      </c>
      <c r="O494" s="275">
        <f>[2]Base!AQ494</f>
        <v>1200000000</v>
      </c>
      <c r="P494" s="274">
        <f>+[2]Base!ED494</f>
        <v>232171187.55562437</v>
      </c>
      <c r="Q494" s="276">
        <f>'[1]SITE (Imprensa)_PT'!P494</f>
        <v>5.8085305833333337E-2</v>
      </c>
      <c r="R494" s="277">
        <f>'[1]SITE (Imprensa)_PT'!Q494</f>
        <v>0.57171718666666671</v>
      </c>
      <c r="S494" s="277">
        <f>'[1]SITE (Imprensa)_PT'!R494</f>
        <v>0.1489560375</v>
      </c>
      <c r="T494" s="278">
        <f>'[1]SITE (Imprensa)_PT'!S494</f>
        <v>0.22124147</v>
      </c>
      <c r="U494" s="1"/>
    </row>
    <row r="495" spans="2:21" thickTop="1" thickBot="1" x14ac:dyDescent="0.3">
      <c r="B495" s="146" t="str">
        <f>[2]Base!A495</f>
        <v>VAMOS</v>
      </c>
      <c r="C495" s="147" t="str">
        <f>[2]Base!C495</f>
        <v>NM</v>
      </c>
      <c r="D495" s="271" t="s">
        <v>158</v>
      </c>
      <c r="E495" s="271" t="str">
        <f>[2]Base!M495</f>
        <v>BTG Pactual</v>
      </c>
      <c r="F495" s="147" t="str">
        <f>[2]Base!F495</f>
        <v>FOLLOW-ON</v>
      </c>
      <c r="G495" s="147" t="str">
        <f>[2]Base!G495</f>
        <v>ICVM 476</v>
      </c>
      <c r="H495" s="148">
        <f>[2]Base!X495</f>
        <v>44825</v>
      </c>
      <c r="I495" s="272">
        <f>[2]Base!W495</f>
        <v>13.25</v>
      </c>
      <c r="J495" s="273">
        <f>[2]Base!J495</f>
        <v>44827</v>
      </c>
      <c r="K495" s="274">
        <f>'[1]SITE (Imprensa)_PT'!K495</f>
        <v>191</v>
      </c>
      <c r="L495" s="274">
        <f>[2]Base!DZ495</f>
        <v>272</v>
      </c>
      <c r="M495" s="275">
        <f>[2]Base!AO495</f>
        <v>641432500</v>
      </c>
      <c r="N495" s="275">
        <f>[2]Base!AP495</f>
        <v>0</v>
      </c>
      <c r="O495" s="275">
        <f>[2]Base!AQ495</f>
        <v>641432500</v>
      </c>
      <c r="P495" s="274">
        <f>+[2]Base!ED495</f>
        <v>122745756.54936181</v>
      </c>
      <c r="Q495" s="276">
        <f>'[1]SITE (Imprensa)_PT'!P495</f>
        <v>5.0047510844866759E-4</v>
      </c>
      <c r="R495" s="277">
        <f>'[1]SITE (Imprensa)_PT'!Q495</f>
        <v>0.41163123321627765</v>
      </c>
      <c r="S495" s="277">
        <f>'[1]SITE (Imprensa)_PT'!R495</f>
        <v>0.58673538525098123</v>
      </c>
      <c r="T495" s="278">
        <f>'[1]SITE (Imprensa)_PT'!S495</f>
        <v>1.1329064242925015E-3</v>
      </c>
      <c r="U495" s="1"/>
    </row>
    <row r="496" spans="2:21" thickTop="1" thickBot="1" x14ac:dyDescent="0.3">
      <c r="B496" s="146" t="str">
        <f>[2]Base!A496</f>
        <v>IGUATEMI S.A.</v>
      </c>
      <c r="C496" s="147" t="str">
        <f>[2]Base!C496</f>
        <v>NM</v>
      </c>
      <c r="D496" s="271" t="s">
        <v>82</v>
      </c>
      <c r="E496" s="271" t="str">
        <f>[2]Base!M496</f>
        <v>BTG Pactual</v>
      </c>
      <c r="F496" s="147" t="str">
        <f>[2]Base!F496</f>
        <v>FOLLOW-ON</v>
      </c>
      <c r="G496" s="147" t="str">
        <f>[2]Base!G496</f>
        <v>ICVM 476</v>
      </c>
      <c r="H496" s="148">
        <f>[2]Base!X496</f>
        <v>44824</v>
      </c>
      <c r="I496" s="272">
        <f>[2]Base!W496</f>
        <v>19.739999999999998</v>
      </c>
      <c r="J496" s="273">
        <f>[2]Base!J496</f>
        <v>44826</v>
      </c>
      <c r="K496" s="274">
        <f>'[1]SITE (Imprensa)_PT'!K496</f>
        <v>0</v>
      </c>
      <c r="L496" s="274">
        <f>[2]Base!DZ496</f>
        <v>1617</v>
      </c>
      <c r="M496" s="275">
        <f>[2]Base!AO496</f>
        <v>720036240</v>
      </c>
      <c r="N496" s="275">
        <f>[2]Base!AP496</f>
        <v>0</v>
      </c>
      <c r="O496" s="275">
        <f>[2]Base!AQ496</f>
        <v>720036240</v>
      </c>
      <c r="P496" s="274">
        <f>+[2]Base!ED496</f>
        <v>139333986.1060046</v>
      </c>
      <c r="Q496" s="276">
        <f>'[1]SITE (Imprensa)_PT'!P496</f>
        <v>0</v>
      </c>
      <c r="R496" s="277">
        <f>'[1]SITE (Imprensa)_PT'!Q496</f>
        <v>8.7394231823664875E-2</v>
      </c>
      <c r="S496" s="277">
        <f>'[1]SITE (Imprensa)_PT'!R496</f>
        <v>0</v>
      </c>
      <c r="T496" s="278">
        <f>'[1]SITE (Imprensa)_PT'!S496</f>
        <v>0.46944980260993524</v>
      </c>
      <c r="U496" s="1"/>
    </row>
    <row r="497" spans="2:21" thickTop="1" thickBot="1" x14ac:dyDescent="0.3">
      <c r="B497" s="146" t="str">
        <f>[2]Base!A497</f>
        <v>ASSAI</v>
      </c>
      <c r="C497" s="147" t="str">
        <f>[2]Base!C497</f>
        <v>NM</v>
      </c>
      <c r="D497" s="271" t="s">
        <v>110</v>
      </c>
      <c r="E497" s="271" t="str">
        <f>[2]Base!M497</f>
        <v>Itaú BBA</v>
      </c>
      <c r="F497" s="147" t="str">
        <f>[2]Base!F497</f>
        <v>FOLLOW-ON</v>
      </c>
      <c r="G497" s="147" t="str">
        <f>[2]Base!G497</f>
        <v>ICVM 476</v>
      </c>
      <c r="H497" s="148">
        <f>[2]Base!X497</f>
        <v>44894</v>
      </c>
      <c r="I497" s="272">
        <f>[2]Base!W497</f>
        <v>19</v>
      </c>
      <c r="J497" s="273">
        <f>[2]Base!J497</f>
        <v>44896</v>
      </c>
      <c r="K497" s="274">
        <f>'[1]SITE (Imprensa)_PT'!K497</f>
        <v>0</v>
      </c>
      <c r="L497" s="274">
        <f>[2]Base!DZ497</f>
        <v>441</v>
      </c>
      <c r="M497" s="275">
        <f>[2]Base!AO497</f>
        <v>0</v>
      </c>
      <c r="N497" s="275">
        <f>[2]Base!AP497</f>
        <v>2675200000</v>
      </c>
      <c r="O497" s="275">
        <f>[2]Base!AQ497</f>
        <v>2675200000</v>
      </c>
      <c r="P497" s="274">
        <f>+[2]Base!ED497</f>
        <v>514976514.976515</v>
      </c>
      <c r="Q497" s="276">
        <f>'[1]SITE (Imprensa)_PT'!P497</f>
        <v>1.6137073863636364E-4</v>
      </c>
      <c r="R497" s="277">
        <f>'[1]SITE (Imprensa)_PT'!Q497</f>
        <v>0.50204392755681815</v>
      </c>
      <c r="S497" s="277">
        <f>'[1]SITE (Imprensa)_PT'!R497</f>
        <v>0.48359015625000001</v>
      </c>
      <c r="T497" s="278">
        <f>'[1]SITE (Imprensa)_PT'!S497</f>
        <v>0</v>
      </c>
      <c r="U497" s="1"/>
    </row>
    <row r="498" spans="2:21" ht="16.8" thickTop="1" thickBot="1" x14ac:dyDescent="0.3">
      <c r="B498" s="146" t="s">
        <v>28</v>
      </c>
      <c r="C498" s="147" t="str">
        <f>[2]Base!C498</f>
        <v>BDR Patrocinado Nível 3</v>
      </c>
      <c r="D498" s="271" t="s">
        <v>100</v>
      </c>
      <c r="E498" s="271" t="str">
        <f>[2]Base!M498</f>
        <v>BTG Pactual</v>
      </c>
      <c r="F498" s="147" t="str">
        <f>[2]Base!F498</f>
        <v>FOLLOW-ON</v>
      </c>
      <c r="G498" s="147" t="str">
        <f>[2]Base!G498</f>
        <v>ICVM 476</v>
      </c>
      <c r="H498" s="148">
        <f>[2]Base!X498</f>
        <v>44910</v>
      </c>
      <c r="I498" s="272">
        <f>[2]Base!W498</f>
        <v>7.16</v>
      </c>
      <c r="J498" s="273">
        <f>[2]Base!J498</f>
        <v>44916</v>
      </c>
      <c r="K498" s="274">
        <f>'[1]SITE (Imprensa)_PT'!K498</f>
        <v>0</v>
      </c>
      <c r="L498" s="274">
        <f>[2]Base!DZ498</f>
        <v>0</v>
      </c>
      <c r="M498" s="275">
        <f>[2]Base!AO498</f>
        <v>70000004.920000002</v>
      </c>
      <c r="N498" s="275">
        <f>[2]Base!AP498</f>
        <v>0</v>
      </c>
      <c r="O498" s="275">
        <f>[2]Base!AQ498</f>
        <v>70000004.920000002</v>
      </c>
      <c r="P498" s="274">
        <f>+[2]Base!ED498</f>
        <v>13453519.040571967</v>
      </c>
      <c r="Q498" s="276">
        <f>'[1]SITE (Imprensa)_PT'!P498</f>
        <v>0</v>
      </c>
      <c r="R498" s="277">
        <f>'[1]SITE (Imprensa)_PT'!Q498</f>
        <v>0</v>
      </c>
      <c r="S498" s="277">
        <f>'[1]SITE (Imprensa)_PT'!R498</f>
        <v>0</v>
      </c>
      <c r="T498" s="278">
        <f>'[1]SITE (Imprensa)_PT'!S498</f>
        <v>0</v>
      </c>
      <c r="U498" s="1"/>
    </row>
    <row r="499" spans="2:21" thickTop="1" thickBot="1" x14ac:dyDescent="0.3">
      <c r="B499" s="146" t="str">
        <f>[2]Base!A499</f>
        <v>ASSAI</v>
      </c>
      <c r="C499" s="147" t="str">
        <f>[2]Base!C499</f>
        <v>NM</v>
      </c>
      <c r="D499" s="271" t="s">
        <v>110</v>
      </c>
      <c r="E499" s="271" t="str">
        <f>[2]Base!M499</f>
        <v>BTG Pactual</v>
      </c>
      <c r="F499" s="147" t="str">
        <f>[2]Base!F499</f>
        <v>FOLLOW-ON</v>
      </c>
      <c r="G499" s="147" t="s">
        <v>159</v>
      </c>
      <c r="H499" s="148">
        <f>[2]Base!X499</f>
        <v>45001</v>
      </c>
      <c r="I499" s="272">
        <f>[2]Base!W499</f>
        <v>16</v>
      </c>
      <c r="J499" s="273">
        <f>[2]Base!J499</f>
        <v>45005</v>
      </c>
      <c r="K499" s="274">
        <f>'[1]SITE (Imprensa)_PT'!K499</f>
        <v>0</v>
      </c>
      <c r="L499" s="274">
        <f>[2]Base!DZ499</f>
        <v>489</v>
      </c>
      <c r="M499" s="275">
        <f>[2]Base!AO499</f>
        <v>0</v>
      </c>
      <c r="N499" s="275">
        <f>[2]Base!AP499</f>
        <v>4064000000</v>
      </c>
      <c r="O499" s="275">
        <f>[2]Base!AQ499</f>
        <v>4064000000</v>
      </c>
      <c r="P499" s="274">
        <f>+[2]Base!ED499</f>
        <v>774582118.28387368</v>
      </c>
      <c r="Q499" s="276">
        <f>'[1]SITE (Imprensa)_PT'!P499</f>
        <v>5.1618897637795277E-4</v>
      </c>
      <c r="R499" s="277">
        <f>'[1]SITE (Imprensa)_PT'!Q499</f>
        <v>0.45671154724409446</v>
      </c>
      <c r="S499" s="277">
        <f>'[1]SITE (Imprensa)_PT'!R499</f>
        <v>0.49669043307086613</v>
      </c>
      <c r="T499" s="278">
        <f>'[1]SITE (Imprensa)_PT'!S499</f>
        <v>0</v>
      </c>
      <c r="U499" s="1"/>
    </row>
    <row r="500" spans="2:21" thickTop="1" thickBot="1" x14ac:dyDescent="0.3">
      <c r="B500" s="146" t="str">
        <f>[2]Base!A500</f>
        <v>HAPVIDA</v>
      </c>
      <c r="C500" s="147" t="str">
        <f>[2]Base!C500</f>
        <v>NM</v>
      </c>
      <c r="D500" s="271" t="s">
        <v>160</v>
      </c>
      <c r="E500" s="271" t="str">
        <f>[2]Base!M500</f>
        <v>Bank of America</v>
      </c>
      <c r="F500" s="147" t="str">
        <f>[2]Base!F500</f>
        <v>FOLLOW-ON</v>
      </c>
      <c r="G500" s="147" t="s">
        <v>159</v>
      </c>
      <c r="H500" s="148">
        <f>[2]Base!X500</f>
        <v>45028</v>
      </c>
      <c r="I500" s="272">
        <f>[2]Base!W500</f>
        <v>2.68</v>
      </c>
      <c r="J500" s="273">
        <f>[2]Base!J500</f>
        <v>45030</v>
      </c>
      <c r="K500" s="274">
        <f>'[1]SITE (Imprensa)_PT'!K500</f>
        <v>116</v>
      </c>
      <c r="L500" s="274">
        <f>[2]Base!DZ500</f>
        <v>823</v>
      </c>
      <c r="M500" s="275">
        <f>[2]Base!AO500</f>
        <v>1059156153.6</v>
      </c>
      <c r="N500" s="275">
        <f>[2]Base!AP500</f>
        <v>0</v>
      </c>
      <c r="O500" s="275">
        <f>[2]Base!AQ500</f>
        <v>1059156153.6</v>
      </c>
      <c r="P500" s="274">
        <f>+[2]Base!ED500</f>
        <v>214165636.15407947</v>
      </c>
      <c r="Q500" s="276">
        <f>'[1]SITE (Imprensa)_PT'!P500</f>
        <v>0.34101653480682759</v>
      </c>
      <c r="R500" s="277">
        <f>'[1]SITE (Imprensa)_PT'!Q500</f>
        <v>0.22346492799529727</v>
      </c>
      <c r="S500" s="277">
        <f>'[1]SITE (Imprensa)_PT'!R500</f>
        <v>0.43540081929615104</v>
      </c>
      <c r="T500" s="278">
        <f>'[1]SITE (Imprensa)_PT'!S500</f>
        <v>9.2414739476617242E-5</v>
      </c>
      <c r="U500" s="1"/>
    </row>
    <row r="501" spans="2:21" thickTop="1" thickBot="1" x14ac:dyDescent="0.3">
      <c r="B501" s="146" t="str">
        <f>[2]Base!A501</f>
        <v>DASA</v>
      </c>
      <c r="C501" s="147" t="str">
        <f>[2]Base!C501</f>
        <v>NM</v>
      </c>
      <c r="D501" s="271" t="s">
        <v>160</v>
      </c>
      <c r="E501" s="271" t="str">
        <f>[2]Base!M501</f>
        <v>Bradesco BBI</v>
      </c>
      <c r="F501" s="147" t="str">
        <f>[2]Base!F501</f>
        <v>FOLLOW-ON</v>
      </c>
      <c r="G501" s="147" t="s">
        <v>159</v>
      </c>
      <c r="H501" s="148">
        <f>[2]Base!X501</f>
        <v>45034</v>
      </c>
      <c r="I501" s="272">
        <f>[2]Base!W501</f>
        <v>8.5</v>
      </c>
      <c r="J501" s="273">
        <f>[2]Base!J501</f>
        <v>45036</v>
      </c>
      <c r="K501" s="274">
        <f>'[1]SITE (Imprensa)_PT'!K501</f>
        <v>26</v>
      </c>
      <c r="L501" s="274">
        <f>[2]Base!DZ501</f>
        <v>81</v>
      </c>
      <c r="M501" s="275">
        <f>[2]Base!AO501</f>
        <v>1673290229</v>
      </c>
      <c r="N501" s="275">
        <f>[2]Base!AP501</f>
        <v>0</v>
      </c>
      <c r="O501" s="275">
        <f>[2]Base!AQ501</f>
        <v>1673290229</v>
      </c>
      <c r="P501" s="274">
        <f>+[2]Base!ED501</f>
        <v>331364284.80899858</v>
      </c>
      <c r="Q501" s="276">
        <f>'[1]SITE (Imprensa)_PT'!P501</f>
        <v>4.5724404932265939E-4</v>
      </c>
      <c r="R501" s="277">
        <f>'[1]SITE (Imprensa)_PT'!Q501</f>
        <v>9.2077843000420694E-3</v>
      </c>
      <c r="S501" s="277">
        <f>'[1]SITE (Imprensa)_PT'!R501</f>
        <v>2.5077274864072609E-2</v>
      </c>
      <c r="T501" s="278">
        <f>'[1]SITE (Imprensa)_PT'!S501</f>
        <v>0.9652576967865627</v>
      </c>
      <c r="U501" s="1"/>
    </row>
    <row r="502" spans="2:21" thickTop="1" thickBot="1" x14ac:dyDescent="0.3">
      <c r="B502" s="146" t="str">
        <f>[2]Base!A502</f>
        <v>ORIZON</v>
      </c>
      <c r="C502" s="147" t="str">
        <f>[2]Base!C502</f>
        <v>NM</v>
      </c>
      <c r="D502" s="271" t="s">
        <v>62</v>
      </c>
      <c r="E502" s="271" t="str">
        <f>[2]Base!M502</f>
        <v>BTG Pactual</v>
      </c>
      <c r="F502" s="147" t="str">
        <f>[2]Base!F502</f>
        <v>FOLLOW-ON</v>
      </c>
      <c r="G502" s="147" t="s">
        <v>159</v>
      </c>
      <c r="H502" s="148">
        <f>[2]Base!X502</f>
        <v>45043</v>
      </c>
      <c r="I502" s="272">
        <f>[2]Base!W502</f>
        <v>34</v>
      </c>
      <c r="J502" s="273">
        <f>[2]Base!J502</f>
        <v>45048</v>
      </c>
      <c r="K502" s="274">
        <f>'[1]SITE (Imprensa)_PT'!K502</f>
        <v>18</v>
      </c>
      <c r="L502" s="274">
        <f>[2]Base!DZ502</f>
        <v>230</v>
      </c>
      <c r="M502" s="275">
        <f>[2]Base!AO502</f>
        <v>91120000</v>
      </c>
      <c r="N502" s="275">
        <f>[2]Base!AP502</f>
        <v>278181846</v>
      </c>
      <c r="O502" s="275">
        <f>[2]Base!AQ502</f>
        <v>369301846</v>
      </c>
      <c r="P502" s="274">
        <f>+[2]Base!ED502</f>
        <v>73370255.890650451</v>
      </c>
      <c r="Q502" s="276">
        <f>'[1]SITE (Imprensa)_PT'!P502</f>
        <v>2.8294524149223995E-3</v>
      </c>
      <c r="R502" s="277">
        <f>'[1]SITE (Imprensa)_PT'!Q502</f>
        <v>0.53802120989127145</v>
      </c>
      <c r="S502" s="277">
        <f>'[1]SITE (Imprensa)_PT'!R502</f>
        <v>0.34267409537942034</v>
      </c>
      <c r="T502" s="278">
        <f>'[1]SITE (Imprensa)_PT'!S502</f>
        <v>0.11647524231438583</v>
      </c>
      <c r="U502" s="1"/>
    </row>
    <row r="503" spans="2:21" thickTop="1" thickBot="1" x14ac:dyDescent="0.3">
      <c r="B503" s="146" t="str">
        <f>[2]Base!A503</f>
        <v>SMART FIT</v>
      </c>
      <c r="C503" s="147" t="str">
        <f>[2]Base!C503</f>
        <v>NM</v>
      </c>
      <c r="D503" s="271" t="s">
        <v>161</v>
      </c>
      <c r="E503" s="271" t="str">
        <f>[2]Base!M503</f>
        <v>Itaú BBA</v>
      </c>
      <c r="F503" s="147" t="str">
        <f>[2]Base!F503</f>
        <v>FOLLOW-ON</v>
      </c>
      <c r="G503" s="147" t="s">
        <v>159</v>
      </c>
      <c r="H503" s="148">
        <f>[2]Base!X503</f>
        <v>45075</v>
      </c>
      <c r="I503" s="272">
        <f>[2]Base!W503</f>
        <v>18.149999999999999</v>
      </c>
      <c r="J503" s="273">
        <f>[2]Base!J503</f>
        <v>45077</v>
      </c>
      <c r="K503" s="274">
        <f>'[1]SITE (Imprensa)_PT'!K503</f>
        <v>0</v>
      </c>
      <c r="L503" s="274">
        <f>[2]Base!DZ503</f>
        <v>277</v>
      </c>
      <c r="M503" s="275">
        <f>[2]Base!AO503</f>
        <v>0</v>
      </c>
      <c r="N503" s="275">
        <f>[2]Base!AP503</f>
        <v>591730873.79999995</v>
      </c>
      <c r="O503" s="275">
        <f>[2]Base!AQ503</f>
        <v>591730873.79999995</v>
      </c>
      <c r="P503" s="274">
        <f>+[2]Base!ED503</f>
        <v>116119012.1077729</v>
      </c>
      <c r="Q503" s="276">
        <f>'[1]SITE (Imprensa)_PT'!P503</f>
        <v>8.2791826773193468E-4</v>
      </c>
      <c r="R503" s="277">
        <f>'[1]SITE (Imprensa)_PT'!Q503</f>
        <v>0.87805121560314303</v>
      </c>
      <c r="S503" s="277">
        <f>'[1]SITE (Imprensa)_PT'!R503</f>
        <v>0.12112086612912505</v>
      </c>
      <c r="T503" s="278">
        <f>'[1]SITE (Imprensa)_PT'!S503</f>
        <v>0</v>
      </c>
      <c r="U503" s="1"/>
    </row>
    <row r="504" spans="2:21" thickTop="1" thickBot="1" x14ac:dyDescent="0.3">
      <c r="B504" s="146" t="str">
        <f>[2]Base!A504</f>
        <v>ONCOCLINICAS</v>
      </c>
      <c r="C504" s="147" t="str">
        <f>[2]Base!C504</f>
        <v>NM</v>
      </c>
      <c r="D504" s="271" t="s">
        <v>160</v>
      </c>
      <c r="E504" s="271" t="str">
        <f>[2]Base!M504</f>
        <v>Goldman Sachs</v>
      </c>
      <c r="F504" s="147" t="str">
        <f>[2]Base!F504</f>
        <v>FOLLOW-ON</v>
      </c>
      <c r="G504" s="147" t="s">
        <v>159</v>
      </c>
      <c r="H504" s="148">
        <f>[2]Base!X504</f>
        <v>45097</v>
      </c>
      <c r="I504" s="272">
        <f>[2]Base!W504</f>
        <v>10.25</v>
      </c>
      <c r="J504" s="273">
        <f>[2]Base!J504</f>
        <v>45099</v>
      </c>
      <c r="K504" s="274">
        <f>'[1]SITE (Imprensa)_PT'!K504</f>
        <v>83</v>
      </c>
      <c r="L504" s="274">
        <f>[2]Base!DZ504</f>
        <v>290</v>
      </c>
      <c r="M504" s="275">
        <f>[2]Base!AO504</f>
        <v>205000000</v>
      </c>
      <c r="N504" s="275">
        <f>[2]Base!AP504</f>
        <v>691875000</v>
      </c>
      <c r="O504" s="275">
        <f>[2]Base!AQ504</f>
        <v>896875000</v>
      </c>
      <c r="P504" s="274">
        <f>+[2]Base!ED504</f>
        <v>187827225.13089004</v>
      </c>
      <c r="Q504" s="276">
        <f>'[1]SITE (Imprensa)_PT'!P504</f>
        <v>1.2096937142857143E-2</v>
      </c>
      <c r="R504" s="277">
        <f>'[1]SITE (Imprensa)_PT'!Q504</f>
        <v>0.31990948571428574</v>
      </c>
      <c r="S504" s="277">
        <f>'[1]SITE (Imprensa)_PT'!R504</f>
        <v>0.65050881142857142</v>
      </c>
      <c r="T504" s="278">
        <f>'[1]SITE (Imprensa)_PT'!S504</f>
        <v>1.7484765714285713E-2</v>
      </c>
      <c r="U504" s="1"/>
    </row>
    <row r="505" spans="2:21" thickTop="1" thickBot="1" x14ac:dyDescent="0.3">
      <c r="B505" s="146" t="str">
        <f>[2]Base!A505</f>
        <v>CVC BRASIL</v>
      </c>
      <c r="C505" s="147" t="str">
        <f>[2]Base!C505</f>
        <v>NM</v>
      </c>
      <c r="D505" s="271" t="s">
        <v>162</v>
      </c>
      <c r="E505" s="271" t="str">
        <f>[2]Base!M505</f>
        <v>Citi</v>
      </c>
      <c r="F505" s="147" t="str">
        <f>[2]Base!F505</f>
        <v>FOLLOW-ON</v>
      </c>
      <c r="G505" s="147" t="s">
        <v>159</v>
      </c>
      <c r="H505" s="148">
        <f>[2]Base!X505</f>
        <v>45099</v>
      </c>
      <c r="I505" s="272">
        <f>[2]Base!W505</f>
        <v>3.3</v>
      </c>
      <c r="J505" s="273">
        <f>[2]Base!J505</f>
        <v>45103</v>
      </c>
      <c r="K505" s="274">
        <f>'[1]SITE (Imprensa)_PT'!K505</f>
        <v>705</v>
      </c>
      <c r="L505" s="274">
        <f>[2]Base!DZ505</f>
        <v>872</v>
      </c>
      <c r="M505" s="275">
        <f>[2]Base!AO505</f>
        <v>549999997.79999995</v>
      </c>
      <c r="N505" s="275">
        <f>[2]Base!AP505</f>
        <v>0</v>
      </c>
      <c r="O505" s="275">
        <f>[2]Base!AQ505</f>
        <v>549999997.79999995</v>
      </c>
      <c r="P505" s="274">
        <f>+[2]Base!ED505</f>
        <v>115308817.51855423</v>
      </c>
      <c r="Q505" s="276">
        <f>'[1]SITE (Imprensa)_PT'!P505</f>
        <v>1.7836404071345617E-2</v>
      </c>
      <c r="R505" s="277">
        <f>'[1]SITE (Imprensa)_PT'!Q505</f>
        <v>0.74633372698533496</v>
      </c>
      <c r="S505" s="277">
        <f>'[1]SITE (Imprensa)_PT'!R505</f>
        <v>0.23578803694315217</v>
      </c>
      <c r="T505" s="278">
        <f>'[1]SITE (Imprensa)_PT'!S505</f>
        <v>4.1832000167328E-5</v>
      </c>
      <c r="U505" s="1"/>
    </row>
    <row r="506" spans="2:21" thickTop="1" thickBot="1" x14ac:dyDescent="0.3">
      <c r="B506" s="146" t="str">
        <f>[2]Base!A506</f>
        <v>LOCALIZA</v>
      </c>
      <c r="C506" s="147" t="str">
        <f>[2]Base!C506</f>
        <v>NM</v>
      </c>
      <c r="D506" s="271" t="s">
        <v>163</v>
      </c>
      <c r="E506" s="271" t="str">
        <f>[2]Base!M506</f>
        <v>Itaú BBA</v>
      </c>
      <c r="F506" s="147" t="str">
        <f>[2]Base!F506</f>
        <v>FOLLOW-ON</v>
      </c>
      <c r="G506" s="147" t="s">
        <v>159</v>
      </c>
      <c r="H506" s="148">
        <f>[2]Base!X506</f>
        <v>45103</v>
      </c>
      <c r="I506" s="272">
        <f>[2]Base!W506</f>
        <v>66.64</v>
      </c>
      <c r="J506" s="273">
        <f>[2]Base!J506</f>
        <v>45105</v>
      </c>
      <c r="K506" s="274">
        <f>'[1]SITE (Imprensa)_PT'!K506</f>
        <v>329</v>
      </c>
      <c r="L506" s="274">
        <f>[2]Base!DZ506</f>
        <v>1138</v>
      </c>
      <c r="M506" s="275">
        <f>[2]Base!AO506</f>
        <v>4500000079.6800003</v>
      </c>
      <c r="N506" s="275">
        <f>[2]Base!AP506</f>
        <v>0</v>
      </c>
      <c r="O506" s="275">
        <f>[2]Base!AQ506</f>
        <v>4500000079.6800003</v>
      </c>
      <c r="P506" s="274">
        <f>+[2]Base!ED506</f>
        <v>926631402.4421885</v>
      </c>
      <c r="Q506" s="276">
        <f>'[1]SITE (Imprensa)_PT'!P506</f>
        <v>2.1279484423211261E-3</v>
      </c>
      <c r="R506" s="277">
        <f>'[1]SITE (Imprensa)_PT'!Q506</f>
        <v>0.41592212017318342</v>
      </c>
      <c r="S506" s="277">
        <f>'[1]SITE (Imprensa)_PT'!R506</f>
        <v>0.57999444725912053</v>
      </c>
      <c r="T506" s="278">
        <f>'[1]SITE (Imprensa)_PT'!S506</f>
        <v>1.955484125374894E-3</v>
      </c>
      <c r="U506" s="1"/>
    </row>
    <row r="507" spans="2:21" thickTop="1" thickBot="1" x14ac:dyDescent="0.3">
      <c r="B507" s="146" t="str">
        <f>[2]Base!A507</f>
        <v>VAMOS</v>
      </c>
      <c r="C507" s="147" t="str">
        <f>[2]Base!C507</f>
        <v>NM</v>
      </c>
      <c r="D507" s="271" t="s">
        <v>163</v>
      </c>
      <c r="E507" s="271" t="str">
        <f>[2]Base!M507</f>
        <v>BTG Pactual</v>
      </c>
      <c r="F507" s="147" t="str">
        <f>[2]Base!F507</f>
        <v>FOLLOW-ON</v>
      </c>
      <c r="G507" s="147" t="s">
        <v>159</v>
      </c>
      <c r="H507" s="148">
        <f>[2]Base!X507</f>
        <v>45106</v>
      </c>
      <c r="I507" s="272">
        <f>[2]Base!W507</f>
        <v>11</v>
      </c>
      <c r="J507" s="273">
        <f>[2]Base!J507</f>
        <v>45107</v>
      </c>
      <c r="K507" s="274">
        <f>'[1]SITE (Imprensa)_PT'!K507</f>
        <v>828</v>
      </c>
      <c r="L507" s="274">
        <f>[2]Base!DZ507</f>
        <v>1262</v>
      </c>
      <c r="M507" s="275">
        <f>[2]Base!AO507</f>
        <v>868192589</v>
      </c>
      <c r="N507" s="275">
        <f>[2]Base!AP507</f>
        <v>434096289</v>
      </c>
      <c r="O507" s="275">
        <f>[2]Base!AQ507</f>
        <v>1302288878</v>
      </c>
      <c r="P507" s="274">
        <f>+[2]Base!ED507</f>
        <v>270229265.8532536</v>
      </c>
      <c r="Q507" s="276">
        <f>'[1]SITE (Imprensa)_PT'!P507</f>
        <v>1.8056861574456294E-3</v>
      </c>
      <c r="R507" s="277">
        <f>'[1]SITE (Imprensa)_PT'!Q507</f>
        <v>0.3301534561673497</v>
      </c>
      <c r="S507" s="277">
        <f>'[1]SITE (Imprensa)_PT'!R507</f>
        <v>0.45902915635589109</v>
      </c>
      <c r="T507" s="278">
        <f>'[1]SITE (Imprensa)_PT'!S507</f>
        <v>0.20901170131931357</v>
      </c>
      <c r="U507" s="1"/>
    </row>
    <row r="508" spans="2:21" thickTop="1" thickBot="1" x14ac:dyDescent="0.3">
      <c r="B508" s="146" t="str">
        <f>[2]Base!A508</f>
        <v>DIRECIONAL</v>
      </c>
      <c r="C508" s="147" t="str">
        <f>[2]Base!C508</f>
        <v>NM</v>
      </c>
      <c r="D508" s="271" t="s">
        <v>82</v>
      </c>
      <c r="E508" s="271" t="str">
        <f>[2]Base!M508</f>
        <v>Itaú BBA</v>
      </c>
      <c r="F508" s="147" t="str">
        <f>[2]Base!F508</f>
        <v>FOLLOW-ON</v>
      </c>
      <c r="G508" s="147" t="s">
        <v>159</v>
      </c>
      <c r="H508" s="148">
        <f>[2]Base!X508</f>
        <v>45106</v>
      </c>
      <c r="I508" s="272">
        <f>[2]Base!W508</f>
        <v>18.25</v>
      </c>
      <c r="J508" s="273">
        <f>[2]Base!J508</f>
        <v>45110</v>
      </c>
      <c r="K508" s="274">
        <f>'[1]SITE (Imprensa)_PT'!K508</f>
        <v>514</v>
      </c>
      <c r="L508" s="274">
        <f>[2]Base!DZ508</f>
        <v>884</v>
      </c>
      <c r="M508" s="275">
        <f>[2]Base!AO508</f>
        <v>428875000</v>
      </c>
      <c r="N508" s="275">
        <f>[2]Base!AP508</f>
        <v>0</v>
      </c>
      <c r="O508" s="275">
        <f>[2]Base!AQ508</f>
        <v>428875000</v>
      </c>
      <c r="P508" s="274">
        <f>+[2]Base!ED508</f>
        <v>89580374.300275713</v>
      </c>
      <c r="Q508" s="276">
        <f>'[1]SITE (Imprensa)_PT'!P508</f>
        <v>4.0331489361702128E-3</v>
      </c>
      <c r="R508" s="277">
        <f>'[1]SITE (Imprensa)_PT'!Q508</f>
        <v>0.63431285106382984</v>
      </c>
      <c r="S508" s="277">
        <f>'[1]SITE (Imprensa)_PT'!R508</f>
        <v>0.35717612765957446</v>
      </c>
      <c r="T508" s="278">
        <f>'[1]SITE (Imprensa)_PT'!S508</f>
        <v>4.4778723404255323E-3</v>
      </c>
      <c r="U508" s="1"/>
    </row>
    <row r="509" spans="2:21" thickTop="1" thickBot="1" x14ac:dyDescent="0.3">
      <c r="B509" s="146" t="str">
        <f>[2]Base!A509</f>
        <v>HIDROVIAS</v>
      </c>
      <c r="C509" s="147" t="str">
        <f>[2]Base!C509</f>
        <v>NM</v>
      </c>
      <c r="D509" s="271" t="s">
        <v>102</v>
      </c>
      <c r="E509" s="271" t="str">
        <f>[2]Base!M509</f>
        <v>Itaú BBA</v>
      </c>
      <c r="F509" s="147" t="str">
        <f>[2]Base!F509</f>
        <v>FOLLOW-ON</v>
      </c>
      <c r="G509" s="147" t="s">
        <v>159</v>
      </c>
      <c r="H509" s="148">
        <f>[2]Base!X509</f>
        <v>45119</v>
      </c>
      <c r="I509" s="272">
        <f>[2]Base!W509</f>
        <v>3.4</v>
      </c>
      <c r="J509" s="273">
        <f>[2]Base!J509</f>
        <v>45119</v>
      </c>
      <c r="K509" s="274">
        <f>'[1]SITE (Imprensa)_PT'!K509</f>
        <v>1</v>
      </c>
      <c r="L509" s="274">
        <f>[2]Base!DZ509</f>
        <v>167</v>
      </c>
      <c r="M509" s="275">
        <f>[2]Base!AO509</f>
        <v>0</v>
      </c>
      <c r="N509" s="275">
        <f>[2]Base!AP509</f>
        <v>442000000</v>
      </c>
      <c r="O509" s="275">
        <f>[2]Base!AQ509</f>
        <v>442000000</v>
      </c>
      <c r="P509" s="274">
        <f>+[2]Base!ED509</f>
        <v>91972200.258021563</v>
      </c>
      <c r="Q509" s="276">
        <f>'[1]SITE (Imprensa)_PT'!P509</f>
        <v>2.4537692307692307E-3</v>
      </c>
      <c r="R509" s="277">
        <f>'[1]SITE (Imprensa)_PT'!Q509</f>
        <v>0.58281086923076919</v>
      </c>
      <c r="S509" s="277">
        <f>'[1]SITE (Imprensa)_PT'!R509</f>
        <v>0.22242766923076923</v>
      </c>
      <c r="T509" s="278">
        <f>'[1]SITE (Imprensa)_PT'!S509</f>
        <v>0.19230769230769232</v>
      </c>
      <c r="U509" s="1"/>
    </row>
    <row r="510" spans="2:21" thickTop="1" thickBot="1" x14ac:dyDescent="0.3">
      <c r="B510" s="146" t="str">
        <f>[2]Base!A510</f>
        <v>MRV</v>
      </c>
      <c r="C510" s="147" t="str">
        <f>[2]Base!C510</f>
        <v>NM</v>
      </c>
      <c r="D510" s="271" t="s">
        <v>82</v>
      </c>
      <c r="E510" s="271" t="str">
        <f>[2]Base!M510</f>
        <v>BTG Pactual</v>
      </c>
      <c r="F510" s="147" t="str">
        <f>[2]Base!F510</f>
        <v>FOLLOW-ON</v>
      </c>
      <c r="G510" s="147" t="s">
        <v>159</v>
      </c>
      <c r="H510" s="148">
        <f>[2]Base!X510</f>
        <v>45120</v>
      </c>
      <c r="I510" s="272">
        <f>[2]Base!W510</f>
        <v>12.8</v>
      </c>
      <c r="J510" s="273">
        <f>[2]Base!J510</f>
        <v>45124</v>
      </c>
      <c r="K510" s="274">
        <f>'[1]SITE (Imprensa)_PT'!K510</f>
        <v>406</v>
      </c>
      <c r="L510" s="274">
        <f>[2]Base!DZ510</f>
        <v>839</v>
      </c>
      <c r="M510" s="275">
        <f>[2]Base!AO510</f>
        <v>1000793600</v>
      </c>
      <c r="N510" s="275">
        <f>[2]Base!AP510</f>
        <v>0</v>
      </c>
      <c r="O510" s="275">
        <f>[2]Base!AQ510</f>
        <v>1000793600</v>
      </c>
      <c r="P510" s="274">
        <f>+[2]Base!ED510</f>
        <v>207195064.38656786</v>
      </c>
      <c r="Q510" s="276">
        <f>'[1]SITE (Imprensa)_PT'!P510</f>
        <v>2.3110875209433794E-3</v>
      </c>
      <c r="R510" s="277">
        <f>'[1]SITE (Imprensa)_PT'!Q510</f>
        <v>0.63745205724736853</v>
      </c>
      <c r="S510" s="277">
        <f>'[1]SITE (Imprensa)_PT'!R510</f>
        <v>0.35017959507334984</v>
      </c>
      <c r="T510" s="278">
        <f>'[1]SITE (Imprensa)_PT'!S510</f>
        <v>1.0057260158338343E-2</v>
      </c>
      <c r="U510" s="1"/>
    </row>
    <row r="511" spans="2:21" thickTop="1" thickBot="1" x14ac:dyDescent="0.3">
      <c r="B511" s="146" t="str">
        <f>[2]Base!A511</f>
        <v>BRF</v>
      </c>
      <c r="C511" s="147" t="str">
        <f>[2]Base!C511</f>
        <v>NM</v>
      </c>
      <c r="D511" s="271" t="s">
        <v>155</v>
      </c>
      <c r="E511" s="271" t="str">
        <f>[2]Base!M511</f>
        <v>J.P. Morgan</v>
      </c>
      <c r="F511" s="147" t="str">
        <f>[2]Base!F511</f>
        <v>FOLLOW-ON</v>
      </c>
      <c r="G511" s="147" t="s">
        <v>159</v>
      </c>
      <c r="H511" s="148">
        <f>[2]Base!X511</f>
        <v>45121</v>
      </c>
      <c r="I511" s="272">
        <f>[2]Base!W511</f>
        <v>9</v>
      </c>
      <c r="J511" s="273">
        <f>[2]Base!J511</f>
        <v>45124</v>
      </c>
      <c r="K511" s="274">
        <f>'[1]SITE (Imprensa)_PT'!K511</f>
        <v>503</v>
      </c>
      <c r="L511" s="274">
        <f>[2]Base!DZ511</f>
        <v>890</v>
      </c>
      <c r="M511" s="275">
        <f>[2]Base!AO511</f>
        <v>5400000000</v>
      </c>
      <c r="N511" s="275">
        <f>[2]Base!AP511</f>
        <v>0</v>
      </c>
      <c r="O511" s="275">
        <f>[2]Base!AQ511</f>
        <v>5400000000</v>
      </c>
      <c r="P511" s="274">
        <f>+[2]Base!ED511</f>
        <v>1117966129.7668834</v>
      </c>
      <c r="Q511" s="276">
        <f>'[1]SITE (Imprensa)_PT'!P511</f>
        <v>6.5553033333333333E-3</v>
      </c>
      <c r="R511" s="277">
        <f>'[1]SITE (Imprensa)_PT'!Q511</f>
        <v>0.25606684666666668</v>
      </c>
      <c r="S511" s="277">
        <f>'[1]SITE (Imprensa)_PT'!R511</f>
        <v>0.40318886333333331</v>
      </c>
      <c r="T511" s="278">
        <f>'[1]SITE (Imprensa)_PT'!S511</f>
        <v>0.33418898666666669</v>
      </c>
      <c r="U511" s="1"/>
    </row>
    <row r="512" spans="2:21" thickTop="1" thickBot="1" x14ac:dyDescent="0.3">
      <c r="B512" s="146" t="str">
        <f>[2]Base!A512</f>
        <v xml:space="preserve">VIVEO </v>
      </c>
      <c r="C512" s="147" t="str">
        <f>[2]Base!C512</f>
        <v>NM</v>
      </c>
      <c r="D512" s="271" t="s">
        <v>164</v>
      </c>
      <c r="E512" s="271" t="str">
        <f>[2]Base!M512</f>
        <v>Banco Itaú BBA S.A</v>
      </c>
      <c r="F512" s="147" t="str">
        <f>[2]Base!F512</f>
        <v>FOLLOW-ON</v>
      </c>
      <c r="G512" s="147" t="s">
        <v>159</v>
      </c>
      <c r="H512" s="148">
        <f>[2]Base!X512</f>
        <v>45139</v>
      </c>
      <c r="I512" s="272">
        <f>[2]Base!W512</f>
        <v>21.21</v>
      </c>
      <c r="J512" s="273">
        <f>[2]Base!J512</f>
        <v>45139</v>
      </c>
      <c r="K512" s="274">
        <f>'[1]SITE (Imprensa)_PT'!K512</f>
        <v>5</v>
      </c>
      <c r="L512" s="274">
        <f>[2]Base!DZ512</f>
        <v>195</v>
      </c>
      <c r="M512" s="275">
        <f>[2]Base!AO512</f>
        <v>778348630.08000004</v>
      </c>
      <c r="N512" s="275">
        <f>[2]Base!AP512</f>
        <v>445410000</v>
      </c>
      <c r="O512" s="275">
        <f>[2]Base!AQ512</f>
        <v>1223758630.0799999</v>
      </c>
      <c r="P512" s="274">
        <f>+[2]Base!ED512</f>
        <v>256273795.87870663</v>
      </c>
      <c r="Q512" s="276">
        <f>'[1]SITE (Imprensa)_PT'!P512</f>
        <v>1.4167400150523642E-3</v>
      </c>
      <c r="R512" s="277">
        <f>'[1]SITE (Imprensa)_PT'!Q512</f>
        <v>0.57070897038278157</v>
      </c>
      <c r="S512" s="277">
        <f>'[1]SITE (Imprensa)_PT'!R512</f>
        <v>0.41790552991366242</v>
      </c>
      <c r="T512" s="278">
        <f>'[1]SITE (Imprensa)_PT'!S512</f>
        <v>9.968759688503687E-3</v>
      </c>
      <c r="U512" s="1"/>
    </row>
    <row r="513" spans="2:136" thickTop="1" thickBot="1" x14ac:dyDescent="0.3">
      <c r="B513" s="146" t="str">
        <f>[2]Base!A513</f>
        <v>COPEL</v>
      </c>
      <c r="C513" s="147" t="str">
        <f>[2]Base!C513</f>
        <v>N2</v>
      </c>
      <c r="D513" s="271" t="s">
        <v>126</v>
      </c>
      <c r="E513" s="271" t="str">
        <f>[2]Base!M513</f>
        <v>Banco BTG Pactual S.A.</v>
      </c>
      <c r="F513" s="147" t="str">
        <f>[2]Base!F513</f>
        <v>FOLLOW-ON</v>
      </c>
      <c r="G513" s="147" t="s">
        <v>159</v>
      </c>
      <c r="H513" s="148">
        <f>[2]Base!X513</f>
        <v>45146</v>
      </c>
      <c r="I513" s="272">
        <f>[2]Base!W513</f>
        <v>8.25</v>
      </c>
      <c r="J513" s="273">
        <f>[2]Base!J513</f>
        <v>45148</v>
      </c>
      <c r="K513" s="274">
        <f>'[1]SITE (Imprensa)_PT'!K513</f>
        <v>3838</v>
      </c>
      <c r="L513" s="274">
        <f>[2]Base!DZ513</f>
        <v>4473</v>
      </c>
      <c r="M513" s="275">
        <f>[2]Base!AO513</f>
        <v>2031618938.25</v>
      </c>
      <c r="N513" s="275">
        <f>[2]Base!AP513</f>
        <v>3099820424.25</v>
      </c>
      <c r="O513" s="275">
        <f>[2]Base!AQ513</f>
        <v>5131439362.5</v>
      </c>
      <c r="P513" s="274">
        <f>+[2]Base!ED513</f>
        <v>1042615226.9541011</v>
      </c>
      <c r="Q513" s="276">
        <f>'[1]SITE (Imprensa)_PT'!P513</f>
        <v>1.6074064540794814E-2</v>
      </c>
      <c r="R513" s="277">
        <f>'[1]SITE (Imprensa)_PT'!Q513</f>
        <v>0.55441000468413892</v>
      </c>
      <c r="S513" s="277">
        <f>'[1]SITE (Imprensa)_PT'!R513</f>
        <v>0.44362849946860305</v>
      </c>
      <c r="T513" s="278">
        <f>'[1]SITE (Imprensa)_PT'!S513</f>
        <v>1.2477414323143528E-3</v>
      </c>
      <c r="U513" s="1"/>
    </row>
    <row r="514" spans="2:136" thickTop="1" thickBot="1" x14ac:dyDescent="0.3">
      <c r="B514" s="146" t="str">
        <f>[2]Base!A514</f>
        <v>TENDA</v>
      </c>
      <c r="C514" s="147" t="str">
        <f>[2]Base!C514</f>
        <v>NM</v>
      </c>
      <c r="D514" s="271" t="s">
        <v>82</v>
      </c>
      <c r="E514" s="271" t="str">
        <f>[2]Base!M514</f>
        <v>Banco Bradesco BBI S.A</v>
      </c>
      <c r="F514" s="147" t="str">
        <f>[2]Base!F514</f>
        <v>FOLLOW-ON</v>
      </c>
      <c r="G514" s="147" t="s">
        <v>159</v>
      </c>
      <c r="H514" s="148">
        <f>[2]Base!X514</f>
        <v>45173</v>
      </c>
      <c r="I514" s="272">
        <f>[2]Base!W514</f>
        <v>12.5</v>
      </c>
      <c r="J514" s="273">
        <f>[2]Base!J514</f>
        <v>45175</v>
      </c>
      <c r="K514" s="274">
        <f>'[1]SITE (Imprensa)_PT'!K514</f>
        <v>56</v>
      </c>
      <c r="L514" s="274">
        <f>[2]Base!DZ514</f>
        <v>239</v>
      </c>
      <c r="M514" s="275">
        <f>[2]Base!AO514</f>
        <v>187500000</v>
      </c>
      <c r="N514" s="275">
        <f>[2]Base!AP514</f>
        <v>46875000</v>
      </c>
      <c r="O514" s="275">
        <f>[2]Base!AQ514</f>
        <v>234375000</v>
      </c>
      <c r="P514" s="274">
        <f>+[2]Base!ED514</f>
        <v>47660444.119082481</v>
      </c>
      <c r="Q514" s="276">
        <f>'[1]SITE (Imprensa)_PT'!P514</f>
        <v>3.6344533333333333E-3</v>
      </c>
      <c r="R514" s="277">
        <f>'[1]SITE (Imprensa)_PT'!Q514</f>
        <v>0.84315152000000004</v>
      </c>
      <c r="S514" s="277">
        <f>'[1]SITE (Imprensa)_PT'!R514</f>
        <v>0.14738138666666667</v>
      </c>
      <c r="T514" s="278">
        <f>'[1]SITE (Imprensa)_PT'!S514</f>
        <v>5.83264E-3</v>
      </c>
      <c r="U514" s="1"/>
    </row>
    <row r="515" spans="2:136" thickTop="1" thickBot="1" x14ac:dyDescent="0.3">
      <c r="B515" s="146" t="str">
        <f>[2]Base!A515</f>
        <v>CASAS BAHIA</v>
      </c>
      <c r="C515" s="147" t="str">
        <f>[2]Base!C515</f>
        <v>NM</v>
      </c>
      <c r="D515" s="271" t="s">
        <v>146</v>
      </c>
      <c r="E515" s="271" t="str">
        <f>[2]Base!M515</f>
        <v>UBS Brasil Corretora de Câmbio, Títulos e Valores Mobiliários S.A.</v>
      </c>
      <c r="F515" s="147" t="str">
        <f>[2]Base!F515</f>
        <v>FOLLOW-ON</v>
      </c>
      <c r="G515" s="147" t="s">
        <v>159</v>
      </c>
      <c r="H515" s="148">
        <f>[2]Base!X515</f>
        <v>45182</v>
      </c>
      <c r="I515" s="272">
        <f>[2]Base!W515</f>
        <v>0.8</v>
      </c>
      <c r="J515" s="273">
        <f>[2]Base!J515</f>
        <v>45187</v>
      </c>
      <c r="K515" s="274">
        <f>'[1]SITE (Imprensa)_PT'!K515</f>
        <v>1700</v>
      </c>
      <c r="L515" s="274">
        <f>[2]Base!DZ515</f>
        <v>2084</v>
      </c>
      <c r="M515" s="275">
        <f>[2]Base!AO515</f>
        <v>622919426.39999998</v>
      </c>
      <c r="N515" s="275">
        <f>[2]Base!AP515</f>
        <v>0</v>
      </c>
      <c r="O515" s="275">
        <f>[2]Base!AQ515</f>
        <v>622919426.39999998</v>
      </c>
      <c r="P515" s="274">
        <f>+[2]Base!ED515</f>
        <v>126684311.1590165</v>
      </c>
      <c r="Q515" s="276">
        <f>'[1]SITE (Imprensa)_PT'!P515</f>
        <v>1.6066568445038946E-2</v>
      </c>
      <c r="R515" s="277">
        <f>'[1]SITE (Imprensa)_PT'!Q515</f>
        <v>0.6998334178136012</v>
      </c>
      <c r="S515" s="277">
        <f>'[1]SITE (Imprensa)_PT'!R515</f>
        <v>0.15219737382073723</v>
      </c>
      <c r="T515" s="278">
        <f>'[1]SITE (Imprensa)_PT'!S515</f>
        <v>0.13190263992062265</v>
      </c>
      <c r="U515" s="1"/>
    </row>
    <row r="516" spans="2:136" thickTop="1" thickBot="1" x14ac:dyDescent="0.3">
      <c r="B516" s="146" t="str">
        <f>[2]Base!A516</f>
        <v>BR PARTNERS</v>
      </c>
      <c r="C516" s="147" t="str">
        <f>[2]Base!C516</f>
        <v>N2</v>
      </c>
      <c r="D516" s="271" t="s">
        <v>165</v>
      </c>
      <c r="E516" s="271" t="str">
        <f>[2]Base!M516</f>
        <v>BTG Pactual Investment Banking Ltda.</v>
      </c>
      <c r="F516" s="147" t="str">
        <f>[2]Base!F516</f>
        <v>FOLLOW-ON</v>
      </c>
      <c r="G516" s="147" t="s">
        <v>159</v>
      </c>
      <c r="H516" s="148">
        <f>[2]Base!X516</f>
        <v>45195</v>
      </c>
      <c r="I516" s="272">
        <f>[2]Base!W516</f>
        <v>4.25</v>
      </c>
      <c r="J516" s="273">
        <f>[2]Base!J516</f>
        <v>45197</v>
      </c>
      <c r="K516" s="274">
        <f>'[1]SITE (Imprensa)_PT'!K516</f>
        <v>0</v>
      </c>
      <c r="L516" s="274">
        <f>[2]Base!DZ516</f>
        <v>92</v>
      </c>
      <c r="M516" s="275">
        <f>[2]Base!AO516</f>
        <v>0</v>
      </c>
      <c r="N516" s="275">
        <f>[2]Base!AP516</f>
        <v>214479747.75</v>
      </c>
      <c r="O516" s="275">
        <f>[2]Base!AQ516</f>
        <v>214479747.75</v>
      </c>
      <c r="P516" s="274">
        <f>+[2]Base!ED516</f>
        <v>43140122.644165978</v>
      </c>
      <c r="Q516" s="276">
        <f>'[1]SITE (Imprensa)_PT'!P516</f>
        <v>0</v>
      </c>
      <c r="R516" s="277">
        <f>'[1]SITE (Imprensa)_PT'!Q516</f>
        <v>0.20620291875553085</v>
      </c>
      <c r="S516" s="277">
        <f>'[1]SITE (Imprensa)_PT'!R516</f>
        <v>8.0505969356726825E-2</v>
      </c>
      <c r="T516" s="278">
        <f>'[1]SITE (Imprensa)_PT'!S516</f>
        <v>4.6624445221075658E-2</v>
      </c>
      <c r="U516" s="1"/>
    </row>
    <row r="517" spans="2:136" thickTop="1" thickBot="1" x14ac:dyDescent="0.3">
      <c r="B517" s="146" t="str">
        <f>[2]Base!A517</f>
        <v>AMBIPAR</v>
      </c>
      <c r="C517" s="147" t="str">
        <f>[2]Base!C517</f>
        <v>NM</v>
      </c>
      <c r="D517" s="271" t="s">
        <v>62</v>
      </c>
      <c r="E517" s="271" t="str">
        <f>[2]Base!M517</f>
        <v>BTG Pactual Investment Banking Ltda.</v>
      </c>
      <c r="F517" s="147" t="str">
        <f>[2]Base!F517</f>
        <v>FOLLOW-ON</v>
      </c>
      <c r="G517" s="147" t="s">
        <v>159</v>
      </c>
      <c r="H517" s="148">
        <f>[2]Base!X517</f>
        <v>45230</v>
      </c>
      <c r="I517" s="272">
        <f>[2]Base!W517</f>
        <v>13.25</v>
      </c>
      <c r="J517" s="273">
        <f>[2]Base!J517</f>
        <v>45233</v>
      </c>
      <c r="K517" s="274">
        <f>'[1]SITE (Imprensa)_PT'!K517</f>
        <v>443</v>
      </c>
      <c r="L517" s="274">
        <f>[2]Base!DZ517</f>
        <v>590</v>
      </c>
      <c r="M517" s="275">
        <f>[2]Base!AO517</f>
        <v>716908223.25</v>
      </c>
      <c r="N517" s="275">
        <f>[2]Base!AP517</f>
        <v>0</v>
      </c>
      <c r="O517" s="275">
        <f>[2]Base!AQ517</f>
        <v>716908223.25</v>
      </c>
      <c r="P517" s="274">
        <f>+[2]Base!ED517</f>
        <v>146577023.76814556</v>
      </c>
      <c r="Q517" s="276">
        <f>'[1]SITE (Imprensa)_PT'!P517</f>
        <v>5.0920890312161722E-3</v>
      </c>
      <c r="R517" s="277">
        <f>'[1]SITE (Imprensa)_PT'!Q517</f>
        <v>0.19267897935916165</v>
      </c>
      <c r="S517" s="277">
        <f>'[1]SITE (Imprensa)_PT'!R517</f>
        <v>2.0831038082251487E-2</v>
      </c>
      <c r="T517" s="278">
        <f>'[1]SITE (Imprensa)_PT'!S517</f>
        <v>0.78139789352737066</v>
      </c>
      <c r="U517" s="1"/>
    </row>
    <row r="518" spans="2:136" thickTop="1" thickBot="1" x14ac:dyDescent="0.3">
      <c r="B518" s="146" t="str">
        <f>[2]Base!A518</f>
        <v>METAL LEVE</v>
      </c>
      <c r="C518" s="147" t="str">
        <f>[2]Base!C518</f>
        <v>NM</v>
      </c>
      <c r="D518" s="271" t="s">
        <v>115</v>
      </c>
      <c r="E518" s="271" t="str">
        <f>[2]Base!M518</f>
        <v>Banco Itaú BBA S.A.</v>
      </c>
      <c r="F518" s="147" t="str">
        <f>[2]Base!F518</f>
        <v>FOLLOW-ON</v>
      </c>
      <c r="G518" s="147" t="s">
        <v>159</v>
      </c>
      <c r="H518" s="148">
        <f>[2]Base!X518</f>
        <v>45230</v>
      </c>
      <c r="I518" s="272">
        <f>[2]Base!W518</f>
        <v>28</v>
      </c>
      <c r="J518" s="273">
        <f>[2]Base!J518</f>
        <v>45236</v>
      </c>
      <c r="K518" s="274">
        <f>'[1]SITE (Imprensa)_PT'!K518</f>
        <v>461</v>
      </c>
      <c r="L518" s="274">
        <f>[2]Base!DZ518</f>
        <v>659</v>
      </c>
      <c r="M518" s="275">
        <f>[2]Base!AO518</f>
        <v>202454000</v>
      </c>
      <c r="N518" s="275">
        <f>[2]Base!AP518</f>
        <v>200000024</v>
      </c>
      <c r="O518" s="275">
        <f>[2]Base!AQ518</f>
        <v>402454024</v>
      </c>
      <c r="P518" s="274">
        <f>+[2]Base!ED518</f>
        <v>82135150.513275787</v>
      </c>
      <c r="Q518" s="276">
        <f>'[1]SITE (Imprensa)_PT'!P518</f>
        <v>2.7580889587527145E-3</v>
      </c>
      <c r="R518" s="277">
        <f>'[1]SITE (Imprensa)_PT'!Q518</f>
        <v>0.68327561311699048</v>
      </c>
      <c r="S518" s="277">
        <f>'[1]SITE (Imprensa)_PT'!R518</f>
        <v>0.3138984640889067</v>
      </c>
      <c r="T518" s="278">
        <f>'[1]SITE (Imprensa)_PT'!S518</f>
        <v>6.7833835350097037E-5</v>
      </c>
      <c r="U518" s="1"/>
    </row>
    <row r="519" spans="2:136" thickTop="1" thickBot="1" x14ac:dyDescent="0.3">
      <c r="B519" s="146" t="str">
        <f>[2]Base!A519</f>
        <v>AERIS</v>
      </c>
      <c r="C519" s="147" t="str">
        <f>[2]Base!C519</f>
        <v>NM</v>
      </c>
      <c r="D519" s="271" t="s">
        <v>96</v>
      </c>
      <c r="E519" s="271" t="str">
        <f>[2]Base!M519</f>
        <v>BTG Pactual Investment Banking Ltda</v>
      </c>
      <c r="F519" s="147" t="str">
        <f>[2]Base!F519</f>
        <v>FOLLOW-ON</v>
      </c>
      <c r="G519" s="147" t="s">
        <v>159</v>
      </c>
      <c r="H519" s="148">
        <f>[2]Base!X519</f>
        <v>45260</v>
      </c>
      <c r="I519" s="272">
        <f>[2]Base!W519</f>
        <v>0.84</v>
      </c>
      <c r="J519" s="273">
        <f>[2]Base!J519</f>
        <v>45264</v>
      </c>
      <c r="K519" s="274">
        <f>'[1]SITE (Imprensa)_PT'!K519</f>
        <v>642</v>
      </c>
      <c r="L519" s="274">
        <f>[2]Base!DZ519</f>
        <v>788</v>
      </c>
      <c r="M519" s="275">
        <f>[2]Base!AO519</f>
        <v>400000000.68000001</v>
      </c>
      <c r="N519" s="275">
        <f>[2]Base!AP519</f>
        <v>0</v>
      </c>
      <c r="O519" s="275">
        <f>[2]Base!AQ519</f>
        <v>400000000.68000001</v>
      </c>
      <c r="P519" s="274">
        <f>+[2]Base!ED519</f>
        <v>81481330.7286468</v>
      </c>
      <c r="Q519" s="276">
        <f>'[1]SITE (Imprensa)_PT'!P519</f>
        <v>6.1464269895510739E-3</v>
      </c>
      <c r="R519" s="277">
        <f>'[1]SITE (Imprensa)_PT'!Q519</f>
        <v>3.0870230947520607E-3</v>
      </c>
      <c r="S519" s="277">
        <f>'[1]SITE (Imprensa)_PT'!R519</f>
        <v>5.0588390913999734E-3</v>
      </c>
      <c r="T519" s="278">
        <f>'[1]SITE (Imprensa)_PT'!S519</f>
        <v>0.98570771082429687</v>
      </c>
      <c r="U519" s="1"/>
    </row>
    <row r="520" spans="2:136" thickTop="1" thickBot="1" x14ac:dyDescent="0.3">
      <c r="B520" s="146" t="str">
        <f>[2]Base!A520</f>
        <v>INFRACOMM</v>
      </c>
      <c r="C520" s="147" t="str">
        <f>[2]Base!C520</f>
        <v>NM</v>
      </c>
      <c r="D520" s="271" t="s">
        <v>141</v>
      </c>
      <c r="E520" s="271" t="str">
        <f>[2]Base!M520</f>
        <v>Banco Itaú BBA S.A.</v>
      </c>
      <c r="F520" s="147" t="str">
        <f>[2]Base!F520</f>
        <v>FOLLOW-ON</v>
      </c>
      <c r="G520" s="147" t="s">
        <v>159</v>
      </c>
      <c r="H520" s="148">
        <f>[2]Base!X520</f>
        <v>45274</v>
      </c>
      <c r="I520" s="272">
        <f>[2]Base!W520</f>
        <v>1.6</v>
      </c>
      <c r="J520" s="273">
        <f>[2]Base!J520</f>
        <v>45278</v>
      </c>
      <c r="K520" s="274">
        <f>'[1]SITE (Imprensa)_PT'!K520</f>
        <v>237</v>
      </c>
      <c r="L520" s="274">
        <f>[2]Base!DZ520</f>
        <v>360</v>
      </c>
      <c r="M520" s="275">
        <f>[2]Base!AO520</f>
        <v>400000000</v>
      </c>
      <c r="N520" s="275">
        <f>[2]Base!AP520</f>
        <v>0</v>
      </c>
      <c r="O520" s="275">
        <f>[2]Base!AQ520</f>
        <v>400000000</v>
      </c>
      <c r="P520" s="274">
        <f>+[2]Base!ED520</f>
        <v>80973299.054636732</v>
      </c>
      <c r="Q520" s="276">
        <f>'[1]SITE (Imprensa)_PT'!P520</f>
        <v>1.8171179999999999E-2</v>
      </c>
      <c r="R520" s="277">
        <f>'[1]SITE (Imprensa)_PT'!Q520</f>
        <v>0.30932751200000003</v>
      </c>
      <c r="S520" s="277">
        <f>'[1]SITE (Imprensa)_PT'!R520</f>
        <v>0.47062782400000008</v>
      </c>
      <c r="T520" s="278">
        <f>'[1]SITE (Imprensa)_PT'!S520</f>
        <v>7.0200880000000007E-3</v>
      </c>
      <c r="U520" s="1"/>
    </row>
    <row r="521" spans="2:136" thickTop="1" thickBot="1" x14ac:dyDescent="0.3">
      <c r="B521" s="146" t="str">
        <f>[2]Base!A521</f>
        <v>ENERGISA</v>
      </c>
      <c r="C521" s="147" t="str">
        <f>[2]Base!C521</f>
        <v>N2</v>
      </c>
      <c r="D521" s="271" t="s">
        <v>126</v>
      </c>
      <c r="E521" s="271" t="str">
        <f>[2]Base!M521</f>
        <v xml:space="preserve">Banco Itaú BBA S.A. </v>
      </c>
      <c r="F521" s="147" t="str">
        <f>[2]Base!F521</f>
        <v>FOLLOW-ON</v>
      </c>
      <c r="G521" s="147" t="s">
        <v>159</v>
      </c>
      <c r="H521" s="148">
        <f>[2]Base!X521</f>
        <v>45320</v>
      </c>
      <c r="I521" s="272">
        <f>[2]Base!W521</f>
        <v>9.9600000000000009</v>
      </c>
      <c r="J521" s="273">
        <f>[2]Base!J521</f>
        <v>45322</v>
      </c>
      <c r="K521" s="274">
        <f>'[1]SITE (Imprensa)_PT'!K521</f>
        <v>86</v>
      </c>
      <c r="L521" s="274">
        <f>[2]Base!DZ521</f>
        <v>1675</v>
      </c>
      <c r="M521" s="275">
        <f>[2]Base!AO521</f>
        <v>2493367705.0800004</v>
      </c>
      <c r="N521" s="275">
        <f>[2]Base!AP521</f>
        <v>0</v>
      </c>
      <c r="O521" s="275">
        <f>[2]Base!AQ521</f>
        <v>2493367705.0800004</v>
      </c>
      <c r="P521" s="274">
        <f>+[2]Base!ED521</f>
        <v>503354740.09892005</v>
      </c>
      <c r="Q521" s="276">
        <f>'[1]SITE (Imprensa)_PT'!P521</f>
        <v>1.0121902208238574E-2</v>
      </c>
      <c r="R521" s="277">
        <f>'[1]SITE (Imprensa)_PT'!Q521</f>
        <v>0.39021079502141981</v>
      </c>
      <c r="S521" s="277">
        <f>'[1]SITE (Imprensa)_PT'!R521</f>
        <v>0.22598613156494743</v>
      </c>
      <c r="T521" s="278">
        <f>'[1]SITE (Imprensa)_PT'!S521</f>
        <v>0.37368117120539407</v>
      </c>
      <c r="U521" s="1"/>
    </row>
    <row r="522" spans="2:136" thickTop="1" thickBot="1" x14ac:dyDescent="0.3">
      <c r="B522" s="146" t="str">
        <f>[2]Base!A522</f>
        <v>VULCABRAS</v>
      </c>
      <c r="C522" s="147" t="str">
        <f>[2]Base!C522</f>
        <v xml:space="preserve">NM </v>
      </c>
      <c r="D522" s="271" t="s">
        <v>166</v>
      </c>
      <c r="E522" s="271" t="str">
        <f>[2]Base!M522</f>
        <v>BTG Pactual Investment Banking Ltda.</v>
      </c>
      <c r="F522" s="147" t="str">
        <f>[2]Base!F522</f>
        <v>FOLLOW-ON</v>
      </c>
      <c r="G522" s="147" t="s">
        <v>159</v>
      </c>
      <c r="H522" s="148">
        <f>[2]Base!X522</f>
        <v>45328</v>
      </c>
      <c r="I522" s="272">
        <f>[2]Base!W522</f>
        <v>18.5</v>
      </c>
      <c r="J522" s="273">
        <f>[2]Base!J522</f>
        <v>45330</v>
      </c>
      <c r="K522" s="274">
        <f>'[1]SITE (Imprensa)_PT'!K522</f>
        <v>132</v>
      </c>
      <c r="L522" s="274">
        <f>[2]Base!DZ522</f>
        <v>363</v>
      </c>
      <c r="M522" s="275">
        <f>[2]Base!AO522</f>
        <v>501350000</v>
      </c>
      <c r="N522" s="275">
        <f>[2]Base!AP522</f>
        <v>0</v>
      </c>
      <c r="O522" s="275">
        <f>[2]Base!AQ522</f>
        <v>501350000</v>
      </c>
      <c r="P522" s="274">
        <f>+[2]Base!ED522</f>
        <v>100901644.29327591</v>
      </c>
      <c r="Q522" s="276">
        <f>'[1]SITE (Imprensa)_PT'!P522</f>
        <v>9.4103690036900361E-3</v>
      </c>
      <c r="R522" s="277">
        <f>'[1]SITE (Imprensa)_PT'!Q522</f>
        <v>0.57320147601476013</v>
      </c>
      <c r="S522" s="277">
        <f>'[1]SITE (Imprensa)_PT'!R522</f>
        <v>0.22573583025830257</v>
      </c>
      <c r="T522" s="278">
        <f>'[1]SITE (Imprensa)_PT'!S522</f>
        <v>0.19165232472324722</v>
      </c>
      <c r="U522" s="1"/>
    </row>
    <row r="523" spans="2:136" thickTop="1" thickBot="1" x14ac:dyDescent="0.3">
      <c r="B523" s="146" t="str">
        <f>[2]Base!A523</f>
        <v>PRINER</v>
      </c>
      <c r="C523" s="147" t="str">
        <f>[2]Base!C523</f>
        <v>NM</v>
      </c>
      <c r="D523" s="271" t="s">
        <v>167</v>
      </c>
      <c r="E523" s="271" t="str">
        <f>[2]Base!M523</f>
        <v>Banco Itaú BBA S.A.</v>
      </c>
      <c r="F523" s="147" t="str">
        <f>[2]Base!F523</f>
        <v>FOLLOW-ON</v>
      </c>
      <c r="G523" s="147" t="s">
        <v>159</v>
      </c>
      <c r="H523" s="148">
        <f>[2]Base!X523</f>
        <v>45330</v>
      </c>
      <c r="I523" s="272">
        <f>[2]Base!W523</f>
        <v>11.44</v>
      </c>
      <c r="J523" s="273">
        <f>[2]Base!J523</f>
        <v>45336</v>
      </c>
      <c r="K523" s="274">
        <f>'[1]SITE (Imprensa)_PT'!K523</f>
        <v>101</v>
      </c>
      <c r="L523" s="274">
        <f>[2]Base!DZ523</f>
        <v>176</v>
      </c>
      <c r="M523" s="275">
        <f>[2]Base!AO523</f>
        <v>89375000</v>
      </c>
      <c r="N523" s="275">
        <f>[2]Base!AP523</f>
        <v>0</v>
      </c>
      <c r="O523" s="275">
        <f>[2]Base!AQ523</f>
        <v>89375000</v>
      </c>
      <c r="P523" s="274">
        <f>+[2]Base!ED523</f>
        <v>17945345.755361013</v>
      </c>
      <c r="Q523" s="276">
        <f>'[1]SITE (Imprensa)_PT'!P523</f>
        <v>1.5108479999999999E-2</v>
      </c>
      <c r="R523" s="277">
        <f>'[1]SITE (Imprensa)_PT'!Q523</f>
        <v>0.93813235200000011</v>
      </c>
      <c r="S523" s="277">
        <f>'[1]SITE (Imprensa)_PT'!R523</f>
        <v>4.2719488E-2</v>
      </c>
      <c r="T523" s="278">
        <f>'[1]SITE (Imprensa)_PT'!S523</f>
        <v>4.0396799999999995E-3</v>
      </c>
      <c r="U523" s="1"/>
    </row>
    <row r="524" spans="2:136" thickTop="1" thickBot="1" x14ac:dyDescent="0.3">
      <c r="B524" s="146" t="str">
        <f>[2]Base!A524</f>
        <v>P.ACUCAR-CBD</v>
      </c>
      <c r="C524" s="147" t="str">
        <f>[2]Base!C524</f>
        <v>NM</v>
      </c>
      <c r="D524" s="271" t="s">
        <v>110</v>
      </c>
      <c r="E524" s="271" t="str">
        <f>[2]Base!M524</f>
        <v xml:space="preserve">Banco Itaú BBA S.A. </v>
      </c>
      <c r="F524" s="147" t="str">
        <f>[2]Base!F524</f>
        <v>FOLLOW-ON</v>
      </c>
      <c r="G524" s="147" t="s">
        <v>159</v>
      </c>
      <c r="H524" s="148">
        <f>[2]Base!X524</f>
        <v>45364</v>
      </c>
      <c r="I524" s="272">
        <f>[2]Base!W524</f>
        <v>3.2</v>
      </c>
      <c r="J524" s="273">
        <f>[2]Base!J524</f>
        <v>45366</v>
      </c>
      <c r="K524" s="274">
        <f>'[1]SITE (Imprensa)_PT'!K524</f>
        <v>147</v>
      </c>
      <c r="L524" s="274">
        <f>[2]Base!DZ524</f>
        <v>389</v>
      </c>
      <c r="M524" s="275">
        <f>[2]Base!AO524</f>
        <v>704000000</v>
      </c>
      <c r="N524" s="275">
        <f>[2]Base!AP524</f>
        <v>0</v>
      </c>
      <c r="O524" s="275">
        <f>[2]Base!AQ524</f>
        <v>704000000</v>
      </c>
      <c r="P524" s="274">
        <f>+[2]Base!ED524</f>
        <v>140977631.81608829</v>
      </c>
      <c r="Q524" s="276">
        <f>'[1]SITE (Imprensa)_PT'!P524</f>
        <v>6.3961545454545451E-2</v>
      </c>
      <c r="R524" s="277">
        <f>'[1]SITE (Imprensa)_PT'!Q524</f>
        <v>0.45772170909090909</v>
      </c>
      <c r="S524" s="277">
        <f>'[1]SITE (Imprensa)_PT'!R524</f>
        <v>0.4549614818181818</v>
      </c>
      <c r="T524" s="278">
        <f>'[1]SITE (Imprensa)_PT'!S524</f>
        <v>2.3355263636363637E-2</v>
      </c>
      <c r="U524" s="1"/>
    </row>
    <row r="525" spans="2:136" thickTop="1" thickBot="1" x14ac:dyDescent="0.3">
      <c r="B525" s="146" t="str">
        <f>[2]Base!A525</f>
        <v>SERENA</v>
      </c>
      <c r="C525" s="147" t="str">
        <f>[2]Base!C525</f>
        <v>NM</v>
      </c>
      <c r="D525" s="271" t="s">
        <v>126</v>
      </c>
      <c r="E525" s="271" t="str">
        <f>[2]Base!M525</f>
        <v>BTG Pactual Investment Banking Ltda.</v>
      </c>
      <c r="F525" s="147" t="str">
        <f>[2]Base!F525</f>
        <v>FOLLOW-ON</v>
      </c>
      <c r="G525" s="147" t="s">
        <v>159</v>
      </c>
      <c r="H525" s="148">
        <f>[2]Base!X525</f>
        <v>45378</v>
      </c>
      <c r="I525" s="272">
        <f>[2]Base!W525</f>
        <v>9</v>
      </c>
      <c r="J525" s="273">
        <f>[2]Base!J525</f>
        <v>45383</v>
      </c>
      <c r="K525" s="274">
        <f>'[1]SITE (Imprensa)_PT'!K525</f>
        <v>1</v>
      </c>
      <c r="L525" s="274">
        <f>[2]Base!DZ525</f>
        <v>258</v>
      </c>
      <c r="M525" s="275">
        <f>[2]Base!AO525</f>
        <v>0</v>
      </c>
      <c r="N525" s="275">
        <f>[2]Base!AP525</f>
        <v>775386783</v>
      </c>
      <c r="O525" s="275">
        <f>[2]Base!AQ525</f>
        <v>775386783</v>
      </c>
      <c r="P525" s="274">
        <f>+[2]Base!ED525</f>
        <v>153444704.9394443</v>
      </c>
      <c r="Q525" s="276">
        <f>'[1]SITE (Imprensa)_PT'!P525</f>
        <v>3.8992346352646045E-3</v>
      </c>
      <c r="R525" s="277">
        <f>'[1]SITE (Imprensa)_PT'!Q525</f>
        <v>0.59505323293600687</v>
      </c>
      <c r="S525" s="277">
        <f>'[1]SITE (Imprensa)_PT'!R525</f>
        <v>0.31721839266893975</v>
      </c>
      <c r="T525" s="278">
        <f>'[1]SITE (Imprensa)_PT'!S525</f>
        <v>8.3829139759788757E-2</v>
      </c>
      <c r="U525" s="1"/>
    </row>
    <row r="526" spans="2:136" thickTop="1" thickBot="1" x14ac:dyDescent="0.3">
      <c r="B526" s="146" t="str">
        <f>[2]Base!A526</f>
        <v>BOA SAFRA</v>
      </c>
      <c r="C526" s="147" t="str">
        <f>[2]Base!C526</f>
        <v>NM</v>
      </c>
      <c r="D526" s="271" t="s">
        <v>101</v>
      </c>
      <c r="E526" s="271" t="str">
        <f>[2]Base!M526</f>
        <v>BTG Pactual Investment Banking LTDA</v>
      </c>
      <c r="F526" s="147" t="str">
        <f>[2]Base!F526</f>
        <v>FOLLOW-ON</v>
      </c>
      <c r="G526" s="147" t="s">
        <v>159</v>
      </c>
      <c r="H526" s="148">
        <f>[2]Base!X526</f>
        <v>45400</v>
      </c>
      <c r="I526" s="272">
        <f>[2]Base!W526</f>
        <v>16.5</v>
      </c>
      <c r="J526" s="273">
        <f>[2]Base!J526</f>
        <v>45404</v>
      </c>
      <c r="K526" s="274">
        <f>'[1]SITE (Imprensa)_PT'!K526</f>
        <v>265</v>
      </c>
      <c r="L526" s="274">
        <f>[2]Base!DZ526</f>
        <v>414</v>
      </c>
      <c r="M526" s="275">
        <f>[2]Base!AO526</f>
        <v>299999997</v>
      </c>
      <c r="N526" s="275">
        <f>[2]Base!AP526</f>
        <v>0</v>
      </c>
      <c r="O526" s="275">
        <f>[2]Base!AQ526</f>
        <v>299999997</v>
      </c>
      <c r="P526" s="274">
        <f>+[2]Base!ED526</f>
        <v>57129798.331809871</v>
      </c>
      <c r="Q526" s="276">
        <f>'[1]SITE (Imprensa)_PT'!P526</f>
        <v>1.4569775145697751E-2</v>
      </c>
      <c r="R526" s="277">
        <f>'[1]SITE (Imprensa)_PT'!Q526</f>
        <v>0.5325268903252689</v>
      </c>
      <c r="S526" s="277">
        <f>'[1]SITE (Imprensa)_PT'!R526</f>
        <v>5.1685040516850404E-2</v>
      </c>
      <c r="T526" s="278">
        <f>'[1]SITE (Imprensa)_PT'!S526</f>
        <v>0.40121829401218295</v>
      </c>
      <c r="U526" s="1"/>
      <c r="EF526" s="1" t="e">
        <f>EE526/($BH526-$DY526)</f>
        <v>#DIV/0!</v>
      </c>
    </row>
    <row r="527" spans="2:136" thickTop="1" thickBot="1" x14ac:dyDescent="0.3">
      <c r="B527" s="146" t="str">
        <f>[2]Base!A527</f>
        <v>TRAN PAULIST</v>
      </c>
      <c r="C527" s="147" t="str">
        <f>[2]Base!C527</f>
        <v>N1</v>
      </c>
      <c r="D527" s="271" t="s">
        <v>126</v>
      </c>
      <c r="E527" s="271" t="str">
        <f>[2]Base!M527</f>
        <v>Citigroup Global Markets Brasil, Corretora de Câmbio, Títulos e Valores Mobiliários S.A.</v>
      </c>
      <c r="F527" s="147" t="str">
        <f>[2]Base!F527</f>
        <v>FOLLOW-ON</v>
      </c>
      <c r="G527" s="147" t="s">
        <v>159</v>
      </c>
      <c r="H527" s="148">
        <f>[2]Base!X527</f>
        <v>45491</v>
      </c>
      <c r="I527" s="272">
        <f>[2]Base!W527</f>
        <v>23.5</v>
      </c>
      <c r="J527" s="273">
        <f>[2]Base!J527</f>
        <v>45495</v>
      </c>
      <c r="K527" s="274">
        <f>'[1]SITE (Imprensa)_PT'!K527</f>
        <v>14</v>
      </c>
      <c r="L527" s="274">
        <f>[2]Base!DZ527</f>
        <v>337</v>
      </c>
      <c r="M527" s="275">
        <f>[2]Base!AO527</f>
        <v>0</v>
      </c>
      <c r="N527" s="275">
        <f>[2]Base!AP527</f>
        <v>2185500000</v>
      </c>
      <c r="O527" s="275">
        <f>[2]Base!AQ527</f>
        <v>2185500000</v>
      </c>
      <c r="P527" s="274">
        <f>+[2]Base!ED527</f>
        <v>393089679.48487353</v>
      </c>
      <c r="Q527" s="276">
        <f>'[1]SITE (Imprensa)_PT'!P527</f>
        <v>1.7473118279569893E-3</v>
      </c>
      <c r="R527" s="277">
        <f>'[1]SITE (Imprensa)_PT'!Q527</f>
        <v>0.58973763440860216</v>
      </c>
      <c r="S527" s="277">
        <f>'[1]SITE (Imprensa)_PT'!R527</f>
        <v>0.40851505376344088</v>
      </c>
      <c r="T527" s="278">
        <f>'[1]SITE (Imprensa)_PT'!S527</f>
        <v>0</v>
      </c>
      <c r="U527" s="1"/>
    </row>
    <row r="528" spans="2:136" thickTop="1" thickBot="1" x14ac:dyDescent="0.3">
      <c r="B528" s="146" t="str">
        <f>[2]Base!A528</f>
        <v>SABESP</v>
      </c>
      <c r="C528" s="147" t="str">
        <f>[2]Base!C528</f>
        <v>NM</v>
      </c>
      <c r="D528" s="271" t="s">
        <v>62</v>
      </c>
      <c r="E528" s="271" t="str">
        <f>[2]Base!M528</f>
        <v>BTG Pactual Investment Banking Ltda.</v>
      </c>
      <c r="F528" s="147" t="str">
        <f>[2]Base!F528</f>
        <v>FOLLOW-ON</v>
      </c>
      <c r="G528" s="147" t="s">
        <v>159</v>
      </c>
      <c r="H528" s="148">
        <f>[2]Base!X528</f>
        <v>45491</v>
      </c>
      <c r="I528" s="272">
        <f>[2]Base!W528</f>
        <v>67</v>
      </c>
      <c r="J528" s="273">
        <f>[2]Base!J528</f>
        <v>45492</v>
      </c>
      <c r="K528" s="274">
        <f>'[1]SITE (Imprensa)_PT'!K528</f>
        <v>17572</v>
      </c>
      <c r="L528" s="274">
        <f>[2]Base!DZ528</f>
        <v>19543</v>
      </c>
      <c r="M528" s="275">
        <f>[2]Base!AO528</f>
        <v>0</v>
      </c>
      <c r="N528" s="275">
        <f>[2]Base!AP528</f>
        <v>14771490000</v>
      </c>
      <c r="O528" s="275">
        <f>[2]Base!AQ528</f>
        <v>14771490000</v>
      </c>
      <c r="P528" s="274">
        <f>+[2]Base!ED528</f>
        <v>2659469240.0482512</v>
      </c>
      <c r="Q528" s="276">
        <f>'[1]SITE (Imprensa)_PT'!P528</f>
        <v>9.9813598221980313E-2</v>
      </c>
      <c r="R528" s="277">
        <f>'[1]SITE (Imprensa)_PT'!Q528</f>
        <v>0.22569861659182655</v>
      </c>
      <c r="S528" s="277">
        <f>'[1]SITE (Imprensa)_PT'!R528</f>
        <v>0.19636581847870457</v>
      </c>
      <c r="T528" s="278">
        <f>'[1]SITE (Imprensa)_PT'!S528</f>
        <v>0.47000520705764959</v>
      </c>
      <c r="U528" s="1"/>
    </row>
    <row r="529" spans="2:175" thickTop="1" thickBot="1" x14ac:dyDescent="0.3">
      <c r="B529" s="146" t="str">
        <f>[2]Base!A529</f>
        <v>ENEVA</v>
      </c>
      <c r="C529" s="147" t="str">
        <f>[2]Base!C529</f>
        <v>NM</v>
      </c>
      <c r="D529" s="271" t="s">
        <v>126</v>
      </c>
      <c r="E529" s="271" t="str">
        <f>[2]Base!M529</f>
        <v>BTG Pactual Investment Banking Ltda.</v>
      </c>
      <c r="F529" s="147" t="str">
        <f>[2]Base!F529</f>
        <v>FOLLOW-ON</v>
      </c>
      <c r="G529" s="147" t="s">
        <v>159</v>
      </c>
      <c r="H529" s="148">
        <f>[2]Base!X529</f>
        <v>45575</v>
      </c>
      <c r="I529" s="272">
        <f>[2]Base!W529</f>
        <v>14</v>
      </c>
      <c r="J529" s="273">
        <f>[2]Base!J529</f>
        <v>45579</v>
      </c>
      <c r="K529" s="274">
        <f>'[1]SITE (Imprensa)_PT'!K529</f>
        <v>65</v>
      </c>
      <c r="L529" s="274">
        <f>[2]Base!DZ529</f>
        <v>254</v>
      </c>
      <c r="M529" s="275">
        <f>[2]Base!AO529</f>
        <v>3200000006</v>
      </c>
      <c r="N529" s="275">
        <f>[2]Base!AP529</f>
        <v>0</v>
      </c>
      <c r="O529" s="275">
        <f>[2]Base!AQ529</f>
        <v>3200000006</v>
      </c>
      <c r="P529" s="274">
        <f>+[2]Base!ED529</f>
        <v>570969757.5162816</v>
      </c>
      <c r="Q529" s="276">
        <f>'[1]SITE (Imprensa)_PT'!P529</f>
        <v>9.4429999822943757E-5</v>
      </c>
      <c r="R529" s="277">
        <f>'[1]SITE (Imprensa)_PT'!Q529</f>
        <v>0.10784016229779969</v>
      </c>
      <c r="S529" s="277">
        <f>'[1]SITE (Imprensa)_PT'!R529</f>
        <v>6.8098121747316026E-2</v>
      </c>
      <c r="T529" s="278">
        <f>'[1]SITE (Imprensa)_PT'!S529</f>
        <v>0.8239672859550613</v>
      </c>
      <c r="U529" s="1"/>
    </row>
    <row r="530" spans="2:175" thickTop="1" thickBot="1" x14ac:dyDescent="0.3">
      <c r="B530" s="146" t="str">
        <f>[2]Base!A530</f>
        <v>CAIXA SEGURIDADE</v>
      </c>
      <c r="C530" s="147" t="str">
        <f>[2]Base!C530</f>
        <v>NM</v>
      </c>
      <c r="D530" s="271" t="s">
        <v>64</v>
      </c>
      <c r="E530" s="271" t="str">
        <f>[2]Base!M530</f>
        <v xml:space="preserve">Itaú BBA Assessoria Financeira S.A. </v>
      </c>
      <c r="F530" s="147" t="str">
        <f>[2]Base!F530</f>
        <v>FOLLOW-ON</v>
      </c>
      <c r="G530" s="147" t="s">
        <v>159</v>
      </c>
      <c r="H530" s="148">
        <f>[2]Base!X530</f>
        <v>45735</v>
      </c>
      <c r="I530" s="272">
        <f>[2]Base!W530</f>
        <v>14.75</v>
      </c>
      <c r="J530" s="273">
        <f>[2]Base!J530</f>
        <v>45737</v>
      </c>
      <c r="K530" s="274">
        <f>'[1]SITE (Imprensa)_PT'!K530</f>
        <v>5479</v>
      </c>
      <c r="L530" s="274">
        <f>[2]Base!DZ530</f>
        <v>5726</v>
      </c>
      <c r="M530" s="275">
        <f>[2]Base!AO530</f>
        <v>0</v>
      </c>
      <c r="N530" s="275">
        <f>[2]Base!AP530</f>
        <v>1215118171.75</v>
      </c>
      <c r="O530" s="275">
        <f>[2]Base!AQ530</f>
        <v>1215118171.75</v>
      </c>
      <c r="P530" s="274">
        <f>+[2]Base!ED530</f>
        <v>212303340.91901809</v>
      </c>
      <c r="Q530" s="276">
        <f>'[1]SITE (Imprensa)_PT'!P530</f>
        <v>7.8354758790973533E-2</v>
      </c>
      <c r="R530" s="277">
        <f>'[1]SITE (Imprensa)_PT'!Q530</f>
        <v>0.63057635221312791</v>
      </c>
      <c r="S530" s="277">
        <f>'[1]SITE (Imprensa)_PT'!R530</f>
        <v>0.28348217832501527</v>
      </c>
      <c r="T530" s="278">
        <f>'[1]SITE (Imprensa)_PT'!S530</f>
        <v>7.5867106708833567E-3</v>
      </c>
      <c r="U530" s="1"/>
    </row>
    <row r="531" spans="2:175" thickTop="1" thickBot="1" x14ac:dyDescent="0.3">
      <c r="B531" s="146" t="str">
        <f>[2]Base!A531</f>
        <v>AZUL</v>
      </c>
      <c r="C531" s="147" t="str">
        <f>[2]Base!C531</f>
        <v>N2</v>
      </c>
      <c r="D531" s="271" t="s">
        <v>170</v>
      </c>
      <c r="E531" s="271" t="str">
        <f>[2]Base!M531</f>
        <v>UBS BB Corretora de Câmbio, Títulos e Valores Mobiliários S.A</v>
      </c>
      <c r="F531" s="147" t="str">
        <f>[2]Base!F531</f>
        <v>FOLLOW-ON</v>
      </c>
      <c r="G531" s="147" t="s">
        <v>159</v>
      </c>
      <c r="H531" s="148">
        <f>[2]Base!X531</f>
        <v>45761</v>
      </c>
      <c r="I531" s="272">
        <f>[2]Base!W531</f>
        <v>3.58</v>
      </c>
      <c r="J531" s="273">
        <f>[2]Base!J531</f>
        <v>45772</v>
      </c>
      <c r="K531" s="274">
        <f>'[1]SITE (Imprensa)_PT'!K531</f>
        <v>68</v>
      </c>
      <c r="L531" s="274">
        <f>[2]Base!DZ531</f>
        <v>91</v>
      </c>
      <c r="M531" s="275">
        <f>[2]Base!AO531</f>
        <v>1661441659.4200001</v>
      </c>
      <c r="N531" s="275">
        <f>[2]Base!AP531</f>
        <v>0</v>
      </c>
      <c r="O531" s="275">
        <f>[2]Base!AQ531</f>
        <v>1661441659.4200001</v>
      </c>
      <c r="P531" s="274">
        <f>+[2]Base!ED531</f>
        <v>292286061.50625408</v>
      </c>
      <c r="Q531" s="276">
        <f>'[1]SITE (Imprensa)_PT'!P531</f>
        <v>1.4611610261701714E-3</v>
      </c>
      <c r="R531" s="277">
        <f>'[1]SITE (Imprensa)_PT'!Q531</f>
        <v>2.7329912574752306E-2</v>
      </c>
      <c r="S531" s="277">
        <f>'[1]SITE (Imprensa)_PT'!R531</f>
        <v>1.9315225315346208E-5</v>
      </c>
      <c r="T531" s="278">
        <f>'[1]SITE (Imprensa)_PT'!S531</f>
        <v>0.97118961117376212</v>
      </c>
      <c r="U531" s="1"/>
    </row>
    <row r="532" spans="2:175" thickTop="1" thickBot="1" x14ac:dyDescent="0.3">
      <c r="B532" s="146" t="s">
        <v>169</v>
      </c>
      <c r="C532" s="147" t="s">
        <v>168</v>
      </c>
      <c r="D532" s="271" t="s">
        <v>62</v>
      </c>
      <c r="E532" s="271" t="s">
        <v>171</v>
      </c>
      <c r="F532" s="147" t="s">
        <v>24</v>
      </c>
      <c r="G532" s="147" t="s">
        <v>159</v>
      </c>
      <c r="H532" s="148">
        <v>45786</v>
      </c>
      <c r="I532" s="272">
        <v>48.2</v>
      </c>
      <c r="J532" s="273">
        <v>45803</v>
      </c>
      <c r="K532" s="274">
        <f>'[1]SITE (Imprensa)_PT'!K532</f>
        <v>70</v>
      </c>
      <c r="L532" s="274">
        <f>[2]Base!DZ532</f>
        <v>162</v>
      </c>
      <c r="M532" s="275">
        <f>[2]Base!AO532</f>
        <v>635082332.4000001</v>
      </c>
      <c r="N532" s="275">
        <f>[2]Base!AP532</f>
        <v>0</v>
      </c>
      <c r="O532" s="275">
        <f>[2]Base!AQ532</f>
        <v>635082332.4000001</v>
      </c>
      <c r="P532" s="274">
        <f>+[2]Base!ED532</f>
        <v>111248153.2397919</v>
      </c>
      <c r="Q532" s="276">
        <f>'[1]SITE (Imprensa)_PT'!P532</f>
        <v>2.9066524225670617E-3</v>
      </c>
      <c r="R532" s="277">
        <f>'[1]SITE (Imprensa)_PT'!Q532</f>
        <v>0.23596677651806142</v>
      </c>
      <c r="S532" s="277">
        <f>'[1]SITE (Imprensa)_PT'!R532</f>
        <v>0.12669325140243815</v>
      </c>
      <c r="T532" s="278">
        <f>'[1]SITE (Imprensa)_PT'!S532</f>
        <v>0.63443331965693328</v>
      </c>
      <c r="U532" s="1"/>
    </row>
    <row r="533" spans="2:175" thickTop="1" thickBot="1" x14ac:dyDescent="0.3">
      <c r="B533" s="146" t="s">
        <v>172</v>
      </c>
      <c r="C533" s="147" t="s">
        <v>168</v>
      </c>
      <c r="D533" s="271" t="s">
        <v>62</v>
      </c>
      <c r="E533" s="271" t="s">
        <v>171</v>
      </c>
      <c r="F533" s="147" t="s">
        <v>24</v>
      </c>
      <c r="G533" s="147" t="s">
        <v>159</v>
      </c>
      <c r="H533" s="148">
        <v>45820</v>
      </c>
      <c r="I533" s="272">
        <v>7.06</v>
      </c>
      <c r="J533" s="273">
        <v>45824</v>
      </c>
      <c r="K533" s="274">
        <f>'[1]SITE (Imprensa)_PT'!K533</f>
        <v>132</v>
      </c>
      <c r="L533" s="274">
        <f>[2]Base!DZ533</f>
        <v>239</v>
      </c>
      <c r="M533" s="275">
        <f>[2]Base!AO533</f>
        <v>180078029.17999998</v>
      </c>
      <c r="N533" s="275">
        <f>[2]Base!AP533</f>
        <v>0</v>
      </c>
      <c r="O533" s="275">
        <f>[2]Base!AQ533</f>
        <v>180078029.17999998</v>
      </c>
      <c r="P533" s="274">
        <f>+[2]Base!ED533</f>
        <v>32682037.963702358</v>
      </c>
      <c r="Q533" s="276">
        <f>'[1]SITE (Imprensa)_PT'!P533</f>
        <v>4.3041732827120677E-2</v>
      </c>
      <c r="R533" s="277">
        <f>'[1]SITE (Imprensa)_PT'!Q533</f>
        <v>0.75640486971260179</v>
      </c>
      <c r="S533" s="277">
        <f>'[1]SITE (Imprensa)_PT'!R533</f>
        <v>0.17155148765605788</v>
      </c>
      <c r="T533" s="278">
        <f>'[1]SITE (Imprensa)_PT'!S533</f>
        <v>2.9001909804219683E-2</v>
      </c>
      <c r="U533" s="1"/>
      <c r="AU533" s="1">
        <v>87189086</v>
      </c>
    </row>
    <row r="534" spans="2:175" thickTop="1" thickBot="1" x14ac:dyDescent="0.3">
      <c r="B534" s="146" t="str">
        <f>[2]Base!A534</f>
        <v>FRAS-LE</v>
      </c>
      <c r="C534" s="147" t="str">
        <f>[2]Base!C534</f>
        <v>N1</v>
      </c>
      <c r="D534" s="271" t="s">
        <v>170</v>
      </c>
      <c r="E534" s="271" t="str">
        <f>[2]Base!M534</f>
        <v>BTG Pactual Investment Banking Ltda.</v>
      </c>
      <c r="F534" s="147" t="str">
        <f>[2]Base!F534</f>
        <v>FOLLOW-ON</v>
      </c>
      <c r="G534" s="147" t="s">
        <v>159</v>
      </c>
      <c r="H534" s="148">
        <f>[2]Base!X534</f>
        <v>45848</v>
      </c>
      <c r="I534" s="272">
        <f>[2]Base!W534</f>
        <v>24</v>
      </c>
      <c r="J534" s="273">
        <f>[2]Base!J534</f>
        <v>45852</v>
      </c>
      <c r="K534" s="274">
        <f>'[1]SITE (Imprensa)_PT'!K534</f>
        <v>50</v>
      </c>
      <c r="L534" s="274">
        <f>[2]Base!DZ534</f>
        <v>204</v>
      </c>
      <c r="M534" s="275">
        <f>[2]Base!AO534</f>
        <v>247649952</v>
      </c>
      <c r="N534" s="275">
        <f>[2]Base!AP534</f>
        <v>152350056</v>
      </c>
      <c r="O534" s="275">
        <f>[2]Base!AQ534</f>
        <v>400000008</v>
      </c>
      <c r="P534" s="274">
        <f>+[2]Base!ED534</f>
        <v>72727274.181818187</v>
      </c>
      <c r="Q534" s="276">
        <f>'[1]SITE (Imprensa)_PT'!P534</f>
        <v>1.0424279791514404E-2</v>
      </c>
      <c r="R534" s="277">
        <f>'[1]SITE (Imprensa)_PT'!Q534</f>
        <v>0.72896752542064946</v>
      </c>
      <c r="S534" s="277">
        <f>'[1]SITE (Imprensa)_PT'!R534</f>
        <v>0.2605837147883257</v>
      </c>
      <c r="T534" s="278">
        <f>'[1]SITE (Imprensa)_PT'!S534</f>
        <v>2.4479999510400011E-5</v>
      </c>
      <c r="U534" s="1"/>
      <c r="AU534" s="1">
        <v>270016343</v>
      </c>
      <c r="FS534" s="1" t="e">
        <f>(BN534+BQ534)/AQ534</f>
        <v>#DIV/0!</v>
      </c>
    </row>
    <row r="535" spans="2:175" thickTop="1" thickBot="1" x14ac:dyDescent="0.3">
      <c r="B535" s="146" t="str">
        <f>[2]Base!A535</f>
        <v>GAFISA</v>
      </c>
      <c r="C535" s="147" t="str">
        <f>[2]Base!C535</f>
        <v>NM</v>
      </c>
      <c r="D535" s="271" t="s">
        <v>170</v>
      </c>
      <c r="E535" s="271" t="str">
        <f>[2]Base!M535</f>
        <v>Planner Corretora de Valores S/A</v>
      </c>
      <c r="F535" s="147" t="str">
        <f>[2]Base!F535</f>
        <v>FOLLOW-ON</v>
      </c>
      <c r="G535" s="147" t="s">
        <v>159</v>
      </c>
      <c r="H535" s="148">
        <f>[2]Base!X535</f>
        <v>45852</v>
      </c>
      <c r="I535" s="272">
        <f>[2]Base!W535</f>
        <v>20</v>
      </c>
      <c r="J535" s="273">
        <f>[2]Base!J535</f>
        <v>45873</v>
      </c>
      <c r="K535" s="274">
        <f>'[1]SITE (Imprensa)_PT'!K535</f>
        <v>37</v>
      </c>
      <c r="L535" s="274">
        <f>[2]Base!DZ535</f>
        <v>48</v>
      </c>
      <c r="M535" s="275">
        <f>[2]Base!AO535</f>
        <v>88668720</v>
      </c>
      <c r="N535" s="275">
        <f>[2]Base!AP535</f>
        <v>0</v>
      </c>
      <c r="O535" s="275">
        <f>[2]Base!AQ535</f>
        <v>88668720</v>
      </c>
      <c r="P535" s="274">
        <f>+[2]Base!ED535</f>
        <v>16092326.67876588</v>
      </c>
      <c r="Q535" s="276">
        <f>'[1]SITE (Imprensa)_PT'!P535</f>
        <v>0.10071691572856808</v>
      </c>
      <c r="R535" s="277">
        <f>'[1]SITE (Imprensa)_PT'!Q535</f>
        <v>0.59838463891212146</v>
      </c>
      <c r="S535" s="277">
        <f>'[1]SITE (Imprensa)_PT'!R535</f>
        <v>0.25351397877402537</v>
      </c>
      <c r="T535" s="278">
        <f>'[1]SITE (Imprensa)_PT'!S535</f>
        <v>4.7384466585285091E-2</v>
      </c>
      <c r="U535" s="1"/>
      <c r="AU535" s="1">
        <v>270016344</v>
      </c>
      <c r="FS535" s="1" t="e">
        <f>(BN535+BQ535)/AQ535</f>
        <v>#DIV/0!</v>
      </c>
    </row>
    <row r="536" spans="2:175" thickTop="1" thickBot="1" x14ac:dyDescent="0.3">
      <c r="B536" s="146" t="str">
        <f>[2]Base!A536</f>
        <v>PAGUE MENOS</v>
      </c>
      <c r="C536" s="147" t="str">
        <f>[2]Base!C536</f>
        <v>NM</v>
      </c>
      <c r="D536" s="271" t="s">
        <v>170</v>
      </c>
      <c r="E536" s="271" t="str">
        <f>[2]Base!M536</f>
        <v xml:space="preserve">TAÚ BBA ASSESSORIA 
FINANCEIRA S.A. </v>
      </c>
      <c r="F536" s="147" t="str">
        <f>[2]Base!F536</f>
        <v>FOLLOW-ON</v>
      </c>
      <c r="G536" s="147" t="s">
        <v>159</v>
      </c>
      <c r="H536" s="148">
        <f>[2]Base!X536</f>
        <v>45932</v>
      </c>
      <c r="I536" s="272">
        <f>[2]Base!W536</f>
        <v>3.5</v>
      </c>
      <c r="J536" s="273">
        <f>[2]Base!J536</f>
        <v>45932</v>
      </c>
      <c r="K536" s="274">
        <f>'[1]SITE (Imprensa)_PT'!K536</f>
        <v>56</v>
      </c>
      <c r="L536" s="274">
        <f>[2]Base!DZ536</f>
        <v>256</v>
      </c>
      <c r="M536" s="275">
        <f>[2]Base!AO536</f>
        <v>140000000</v>
      </c>
      <c r="N536" s="275">
        <f>[2]Base!AP536</f>
        <v>103478263</v>
      </c>
      <c r="O536" s="275">
        <f>[2]Base!AQ536</f>
        <v>243478263</v>
      </c>
      <c r="P536" s="274">
        <f>+[2]Base!ED536</f>
        <v>45595180.337078653</v>
      </c>
      <c r="Q536" s="276">
        <f>'[1]SITE (Imprensa)_PT'!P536</f>
        <v>4.5057574605746218E-3</v>
      </c>
      <c r="R536" s="277">
        <f>'[1]SITE (Imprensa)_PT'!Q536</f>
        <v>0.75745873462223612</v>
      </c>
      <c r="S536" s="277">
        <f>'[1]SITE (Imprensa)_PT'!R536</f>
        <v>0.38797617223020847</v>
      </c>
      <c r="T536" s="278">
        <f>'[1]SITE (Imprensa)_PT'!S536</f>
        <v>5.9325624480900786E-5</v>
      </c>
      <c r="U536" s="1"/>
      <c r="AU536" s="1">
        <v>270016345</v>
      </c>
      <c r="FS536" s="1" t="e">
        <f t="shared" ref="FS536:FS539" si="0">(BN536+BQ536)/AQ536</f>
        <v>#DIV/0!</v>
      </c>
    </row>
    <row r="537" spans="2:175" thickTop="1" thickBot="1" x14ac:dyDescent="0.3">
      <c r="B537" s="146" t="str">
        <f>[2]Base!A537</f>
        <v>COSAN</v>
      </c>
      <c r="C537" s="147" t="str">
        <f>[2]Base!C537</f>
        <v>NM</v>
      </c>
      <c r="D537" s="271" t="s">
        <v>170</v>
      </c>
      <c r="E537" s="271" t="str">
        <f>[2]Base!M537</f>
        <v>BTG PACTUAL INVESTMENT BANKING LTDA.</v>
      </c>
      <c r="F537" s="147" t="str">
        <f>[2]Base!F537</f>
        <v>FOLLOW-ON</v>
      </c>
      <c r="G537" s="147" t="s">
        <v>159</v>
      </c>
      <c r="H537" s="148">
        <f>[2]Base!X537</f>
        <v>45964</v>
      </c>
      <c r="I537" s="272">
        <f>[2]Base!W537</f>
        <v>5</v>
      </c>
      <c r="J537" s="273">
        <f>[2]Base!J537</f>
        <v>45966</v>
      </c>
      <c r="K537" s="274">
        <f>'[1]SITE (Imprensa)_PT'!K537</f>
        <v>2719</v>
      </c>
      <c r="L537" s="274">
        <f>[2]Base!DZ537</f>
        <v>3042</v>
      </c>
      <c r="M537" s="275">
        <f>[2]Base!AO537</f>
        <v>9062500000</v>
      </c>
      <c r="N537" s="275">
        <f>[2]Base!AP537</f>
        <v>0</v>
      </c>
      <c r="O537" s="275">
        <f>[2]Base!AQ537</f>
        <v>9062500000</v>
      </c>
      <c r="P537" s="274">
        <f>+[2]Base!ED537</f>
        <v>1687616387.3370576</v>
      </c>
      <c r="Q537" s="276">
        <f>'[1]SITE (Imprensa)_PT'!P537</f>
        <v>0.10004135172413793</v>
      </c>
      <c r="R537" s="277">
        <f>'[1]SITE (Imprensa)_PT'!Q537</f>
        <v>6.4747669517241382E-2</v>
      </c>
      <c r="S537" s="277">
        <f>'[1]SITE (Imprensa)_PT'!R537</f>
        <v>1.6603673931034481E-2</v>
      </c>
      <c r="T537" s="278">
        <f>'[1]SITE (Imprensa)_PT'!S537</f>
        <v>0.81860730482758626</v>
      </c>
      <c r="U537" s="1"/>
      <c r="AU537" s="1">
        <v>270016346</v>
      </c>
      <c r="FS537" s="1" t="e">
        <f t="shared" si="0"/>
        <v>#DIV/0!</v>
      </c>
    </row>
    <row r="538" spans="2:175" thickTop="1" thickBot="1" x14ac:dyDescent="0.3">
      <c r="B538" s="146" t="str">
        <f>[2]Base!A538</f>
        <v>COSAN</v>
      </c>
      <c r="C538" s="147" t="str">
        <f>[2]Base!C538</f>
        <v>NM</v>
      </c>
      <c r="D538" s="271" t="s">
        <v>170</v>
      </c>
      <c r="E538" s="271" t="str">
        <f>[2]Base!M538</f>
        <v>BTG Pactual Investment Banking Ltda</v>
      </c>
      <c r="F538" s="147" t="str">
        <f>[2]Base!F538</f>
        <v>FOLLOW-ON</v>
      </c>
      <c r="G538" s="147" t="s">
        <v>159</v>
      </c>
      <c r="H538" s="148">
        <f>[2]Base!X538</f>
        <v>45964</v>
      </c>
      <c r="I538" s="272">
        <f>[2]Base!W538</f>
        <v>5</v>
      </c>
      <c r="J538" s="273">
        <f>[2]Base!J538</f>
        <v>45974</v>
      </c>
      <c r="K538" s="274">
        <f>'[1]SITE (Imprensa)_PT'!K538</f>
        <v>4730</v>
      </c>
      <c r="L538" s="274">
        <f>[2]Base!DZ538</f>
        <v>6030</v>
      </c>
      <c r="M538" s="275">
        <f>[2]Base!AO538</f>
        <v>1437500000</v>
      </c>
      <c r="N538" s="275">
        <f>[2]Base!AP538</f>
        <v>0</v>
      </c>
      <c r="O538" s="275">
        <f>[2]Base!AQ538</f>
        <v>1437500000</v>
      </c>
      <c r="P538" s="274">
        <f>+[2]Base!ED538</f>
        <v>272253787.87878788</v>
      </c>
      <c r="Q538" s="276">
        <f>'[1]SITE (Imprensa)_PT'!P538</f>
        <v>6.87316347826087E-2</v>
      </c>
      <c r="R538" s="277">
        <f>'[1]SITE (Imprensa)_PT'!Q538</f>
        <v>0.50568587478260874</v>
      </c>
      <c r="S538" s="277">
        <f>'[1]SITE (Imprensa)_PT'!R538</f>
        <v>0.18222044173913043</v>
      </c>
      <c r="T538" s="278">
        <f>'[1]SITE (Imprensa)_PT'!S538</f>
        <v>0.24336204869565217</v>
      </c>
      <c r="U538" s="1"/>
      <c r="AU538" s="1">
        <v>270016347</v>
      </c>
      <c r="FS538" s="1" t="e">
        <f t="shared" si="0"/>
        <v>#DIV/0!</v>
      </c>
    </row>
    <row r="539" spans="2:175" thickTop="1" thickBot="1" x14ac:dyDescent="0.3">
      <c r="B539" s="146" t="str">
        <f>[2]Base!A539</f>
        <v>CURY S/A</v>
      </c>
      <c r="C539" s="147" t="str">
        <f>[2]Base!C539</f>
        <v>NM</v>
      </c>
      <c r="D539" s="271" t="s">
        <v>170</v>
      </c>
      <c r="E539" s="271" t="str">
        <f>[2]Base!M539</f>
        <v>e Itaú BBA Assessoria Financeira S.A.</v>
      </c>
      <c r="F539" s="147" t="str">
        <f>[2]Base!F539</f>
        <v>FOLLOW-ON</v>
      </c>
      <c r="G539" s="147" t="s">
        <v>159</v>
      </c>
      <c r="H539" s="148">
        <f>[2]Base!X539</f>
        <v>46002</v>
      </c>
      <c r="I539" s="272">
        <f>[2]Base!W539</f>
        <v>35.5</v>
      </c>
      <c r="J539" s="273">
        <f>[2]Base!J539</f>
        <v>46006</v>
      </c>
      <c r="K539" s="274">
        <f>'[1]SITE (Imprensa)_PT'!K539</f>
        <v>0</v>
      </c>
      <c r="L539" s="274">
        <f>[2]Base!DZ539</f>
        <v>397</v>
      </c>
      <c r="M539" s="275">
        <f>[2]Base!AO539</f>
        <v>574123963</v>
      </c>
      <c r="N539" s="275">
        <f>[2]Base!AP539</f>
        <v>0</v>
      </c>
      <c r="O539" s="275">
        <f>[2]Base!AQ539</f>
        <v>574123963</v>
      </c>
      <c r="P539" s="274">
        <f>+[2]Base!ED539</f>
        <v>1959870175.2158456</v>
      </c>
      <c r="Q539" s="276">
        <f>'[1]SITE (Imprensa)_PT'!P539</f>
        <v>0</v>
      </c>
      <c r="R539" s="277">
        <f>'[1]SITE (Imprensa)_PT'!Q539</f>
        <v>0</v>
      </c>
      <c r="S539" s="277">
        <f>'[1]SITE (Imprensa)_PT'!R539</f>
        <v>0</v>
      </c>
      <c r="T539" s="278">
        <f>'[1]SITE (Imprensa)_PT'!S539</f>
        <v>0</v>
      </c>
      <c r="U539" s="1"/>
      <c r="AU539" s="1">
        <v>270016348</v>
      </c>
      <c r="FS539" s="1" t="e">
        <f t="shared" si="0"/>
        <v>#DIV/0!</v>
      </c>
    </row>
    <row r="540" spans="2:175" ht="15.6" thickTop="1" thickBot="1" x14ac:dyDescent="0.35">
      <c r="B540" s="146" t="str">
        <f>[2]Base!A540</f>
        <v>AZUL</v>
      </c>
      <c r="C540" s="147" t="str">
        <f>[2]Base!C540</f>
        <v>N2</v>
      </c>
      <c r="D540" s="271" t="s">
        <v>170</v>
      </c>
      <c r="E540" s="271" t="str">
        <f>[2]Base!M540</f>
        <v>UBS BB CORRETORA DE CÂMBIO, TÍTULOS E VALORES MOBILIÁRIOS S.A.</v>
      </c>
      <c r="F540" s="147" t="str">
        <f>[2]Base!F540</f>
        <v>FOLLOW-ON</v>
      </c>
      <c r="G540" s="147" t="s">
        <v>159</v>
      </c>
      <c r="H540" s="148">
        <f>[2]Base!X540</f>
        <v>46013</v>
      </c>
      <c r="I540" s="272">
        <f>[2]Base!W540</f>
        <v>1.3527E-4</v>
      </c>
      <c r="J540" s="273">
        <f>[2]Base!J540</f>
        <v>46030</v>
      </c>
      <c r="K540" s="274">
        <f>'[1]SITE (Imprensa)_PT'!K540</f>
        <v>0</v>
      </c>
      <c r="L540" s="274">
        <f>[2]Base!DZ540</f>
        <v>18</v>
      </c>
      <c r="M540" s="275">
        <f>[2]Base!AO540</f>
        <v>97916723.558518052</v>
      </c>
      <c r="N540" s="275">
        <f>[2]Base!AP540</f>
        <v>0</v>
      </c>
      <c r="O540" s="275">
        <f>[2]Base!AQ540</f>
        <v>97916723.558518052</v>
      </c>
      <c r="P540" s="274">
        <f>+[2]Base!ED540</f>
        <v>2232123963.0946336</v>
      </c>
      <c r="Q540" s="276">
        <f>'[1]SITE (Imprensa)_PT'!P540</f>
        <v>0</v>
      </c>
      <c r="R540" s="277">
        <f>'[1]SITE (Imprensa)_PT'!Q540</f>
        <v>0</v>
      </c>
      <c r="S540" s="277">
        <f>'[1]SITE (Imprensa)_PT'!R540</f>
        <v>0</v>
      </c>
      <c r="T540" s="278">
        <f>'[1]SITE (Imprensa)_PT'!S540</f>
        <v>0</v>
      </c>
    </row>
    <row r="541" spans="2:175" ht="15.6" thickTop="1" thickBot="1" x14ac:dyDescent="0.35">
      <c r="B541" s="146" t="str">
        <f>[2]Base!A541</f>
        <v>AZUL</v>
      </c>
      <c r="C541" s="147" t="str">
        <f>[2]Base!C541</f>
        <v>N2</v>
      </c>
      <c r="D541" s="271" t="s">
        <v>170</v>
      </c>
      <c r="E541" s="271" t="str">
        <f>[2]Base!M541</f>
        <v>UBS BB CORRETORA DE CÂMBIO, TÍTULOS E VALORES MOBILIÁRIOS S.A.</v>
      </c>
      <c r="F541" s="147" t="str">
        <f>[2]Base!F541</f>
        <v>FOLLOW-ON</v>
      </c>
      <c r="G541" s="147" t="s">
        <v>159</v>
      </c>
      <c r="H541" s="148">
        <f>[2]Base!X541</f>
        <v>46013</v>
      </c>
      <c r="I541" s="272">
        <f>[2]Base!W541</f>
        <v>1.0145090000000001E-2</v>
      </c>
      <c r="J541" s="273">
        <f>[2]Base!J541</f>
        <v>46030</v>
      </c>
      <c r="K541" s="274">
        <f>'[1]SITE (Imprensa)_PT'!K541</f>
        <v>0</v>
      </c>
      <c r="L541" s="274">
        <f>[2]Base!DZ541</f>
        <v>2048</v>
      </c>
      <c r="M541" s="275">
        <f>[2]Base!AO541</f>
        <v>7343638449.0743399</v>
      </c>
      <c r="N541" s="275">
        <f>[2]Base!AP541</f>
        <v>0</v>
      </c>
      <c r="O541" s="275">
        <f>[2]Base!AQ541</f>
        <v>7343638449.0743399</v>
      </c>
      <c r="P541" s="274">
        <f>+[2]Base!ED541</f>
        <v>4191994138.3104792</v>
      </c>
      <c r="Q541" s="276">
        <f>'[1]SITE (Imprensa)_PT'!P541</f>
        <v>0</v>
      </c>
      <c r="R541" s="277">
        <f>'[1]SITE (Imprensa)_PT'!Q541</f>
        <v>0</v>
      </c>
      <c r="S541" s="277">
        <f>'[1]SITE (Imprensa)_PT'!R541</f>
        <v>0</v>
      </c>
      <c r="T541" s="278">
        <f>'[1]SITE (Imprensa)_PT'!S541</f>
        <v>0</v>
      </c>
    </row>
    <row r="542" spans="2:175" ht="15.6" thickTop="1" thickBot="1" x14ac:dyDescent="0.35">
      <c r="B542" s="146" t="str">
        <f>[2]Base!A542</f>
        <v>MOURA DUBEUX</v>
      </c>
      <c r="C542" s="147" t="str">
        <f>[2]Base!C542</f>
        <v>NM</v>
      </c>
      <c r="D542" s="271" t="s">
        <v>170</v>
      </c>
      <c r="E542" s="271" t="str">
        <f>[2]Base!M542</f>
        <v>Itaú BBA Assessoria Financeira S.A.</v>
      </c>
      <c r="F542" s="147" t="str">
        <f>[2]Base!F542</f>
        <v>FOLLOW-ON</v>
      </c>
      <c r="G542" s="147" t="s">
        <v>159</v>
      </c>
      <c r="H542" s="148">
        <f>[2]Base!X542</f>
        <v>46044</v>
      </c>
      <c r="I542" s="272">
        <f>[2]Base!W542</f>
        <v>25</v>
      </c>
      <c r="J542" s="273">
        <f>[2]Base!J542</f>
        <v>46048</v>
      </c>
      <c r="K542" s="274">
        <f>'[1]SITE (Imprensa)_PT'!K542</f>
        <v>0</v>
      </c>
      <c r="L542" s="274">
        <f>[2]Base!DZ542</f>
        <v>382</v>
      </c>
      <c r="M542" s="275">
        <f>[2]Base!AO542</f>
        <v>241312725</v>
      </c>
      <c r="N542" s="275">
        <f>[2]Base!AP542</f>
        <v>0</v>
      </c>
      <c r="O542" s="275">
        <f>[2]Base!AQ542</f>
        <v>241312725</v>
      </c>
      <c r="P542" s="274">
        <f>+[2]Base!ED542</f>
        <v>6424118101.4051132</v>
      </c>
      <c r="Q542" s="276">
        <f>'[1]SITE (Imprensa)_PT'!P542</f>
        <v>0</v>
      </c>
      <c r="R542" s="277">
        <f>'[1]SITE (Imprensa)_PT'!Q542</f>
        <v>0</v>
      </c>
      <c r="S542" s="277">
        <f>'[1]SITE (Imprensa)_PT'!R542</f>
        <v>0</v>
      </c>
      <c r="T542" s="278">
        <f>'[1]SITE (Imprensa)_PT'!S542</f>
        <v>0</v>
      </c>
    </row>
    <row r="543" spans="2:175" ht="15.6" thickTop="1" thickBot="1" x14ac:dyDescent="0.35">
      <c r="B543" s="146" t="str">
        <f>[2]Base!A543</f>
        <v>AZUL</v>
      </c>
      <c r="C543" s="147" t="str">
        <f>[2]Base!C543</f>
        <v>N2</v>
      </c>
      <c r="D543" s="271" t="s">
        <v>170</v>
      </c>
      <c r="E543" s="271" t="str">
        <f>[2]Base!M543</f>
        <v xml:space="preserve">UBS BB CORRETORA DE CÂMBIO, TÍTULOS E
VALORES MOBILIÁRIOS S.A. </v>
      </c>
      <c r="F543" s="147" t="str">
        <f>[2]Base!F543</f>
        <v>FOLLOW-ON</v>
      </c>
      <c r="G543" s="147" t="s">
        <v>159</v>
      </c>
      <c r="H543" s="148">
        <f>[2]Base!X543</f>
        <v>46071</v>
      </c>
      <c r="I543" s="272">
        <f>[2]Base!W543</f>
        <v>1.09656646388772E-4</v>
      </c>
      <c r="J543" s="273">
        <f>[2]Base!J543</f>
        <v>46076</v>
      </c>
      <c r="K543" s="274">
        <f>'[1]SITE (Imprensa)_PT'!K543</f>
        <v>0</v>
      </c>
      <c r="L543" s="274">
        <f>[2]Base!DZ543</f>
        <v>774</v>
      </c>
      <c r="M543" s="275">
        <f>[2]Base!AO543</f>
        <v>4986932910.065361</v>
      </c>
      <c r="N543" s="275">
        <f>[2]Base!AP543</f>
        <v>0</v>
      </c>
      <c r="O543" s="275">
        <f>[2]Base!AQ543</f>
        <v>4986932910.065361</v>
      </c>
      <c r="P543" s="274">
        <f>+[2]Base!ED543</f>
        <v>10616112239.715591</v>
      </c>
      <c r="Q543" s="276">
        <f>'[1]SITE (Imprensa)_PT'!P543</f>
        <v>0</v>
      </c>
      <c r="R543" s="277">
        <f>'[1]SITE (Imprensa)_PT'!Q543</f>
        <v>0</v>
      </c>
      <c r="S543" s="277">
        <f>'[1]SITE (Imprensa)_PT'!R543</f>
        <v>0</v>
      </c>
      <c r="T543" s="278">
        <f>'[1]SITE (Imprensa)_PT'!S543</f>
        <v>0</v>
      </c>
    </row>
    <row r="544" spans="2:175" ht="15" thickTop="1" x14ac:dyDescent="0.3"/>
    <row r="545" spans="6:21" ht="13.2" x14ac:dyDescent="0.25"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</sheetData>
  <autoFilter ref="B3:T535" xr:uid="{00000000-0009-0000-0000-000003000000}"/>
  <mergeCells count="5">
    <mergeCell ref="B2:D2"/>
    <mergeCell ref="F2:J2"/>
    <mergeCell ref="K2:P2"/>
    <mergeCell ref="Q2:T2"/>
    <mergeCell ref="V2:Y2"/>
  </mergeCells>
  <pageMargins left="0.78740157499999996" right="0.78740157499999996" top="0.984251969" bottom="0.984251969" header="0.49212598499999999" footer="0.49212598499999999"/>
  <pageSetup orientation="portrait" r:id="rId1"/>
  <headerFooter alignWithMargins="0">
    <oddFooter>&amp;C&amp;1#&amp;"Calibri"&amp;10&amp;K000000INFORMAÇÃO CONFIDENCIAL – CONFIDENTIAL INFORMATION</oddFooter>
  </headerFooter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SITE (Imprensa)_PT </vt:lpstr>
      <vt:lpstr>SITE (Imprensa)_ING</vt:lpstr>
      <vt:lpstr>'SITE (Imprensa)_PT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Dantas</dc:creator>
  <cp:lastModifiedBy>Suzane De Melo Oliveira</cp:lastModifiedBy>
  <dcterms:created xsi:type="dcterms:W3CDTF">2024-11-06T17:38:45Z</dcterms:created>
  <dcterms:modified xsi:type="dcterms:W3CDTF">2026-03-05T21:34:39Z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2024-11-06T17:39:10Z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a4d2ad7e-7096-44c1-be8b-c8b87ef7752a</vt:lpwstr>
  </property>
  <property fmtid="{D5CDD505-2E9C-101B-9397-08002B2CF9AE}" pid="8" name="MSIP_Label_4aeda764-ac5d-4c78-8b24-fe1405747852_ContentBits">
    <vt:lpwstr>2</vt:lpwstr>
  </property>
</Properties>
</file>